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comments4.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drawings/drawing5.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Admntmv2\pw\shared\Ferry\Ferry Fare Revenue Workbooks\2027\"/>
    </mc:Choice>
  </mc:AlternateContent>
  <xr:revisionPtr revIDLastSave="0" documentId="13_ncr:1_{626910AD-5557-4275-A00D-C37722FB7334}" xr6:coauthVersionLast="47" xr6:coauthVersionMax="47" xr10:uidLastSave="{00000000-0000-0000-0000-000000000000}"/>
  <bookViews>
    <workbookView xWindow="-120" yWindow="-120" windowWidth="29040" windowHeight="15720" firstSheet="15" activeTab="21" xr2:uid="{AB9600E6-48A4-0F45-82B2-596796CFF585}"/>
  </bookViews>
  <sheets>
    <sheet name="Simple Fare Schedule Print" sheetId="42" r:id="rId1"/>
    <sheet name="Fare Schedules Print " sheetId="37" r:id="rId2"/>
    <sheet name="Fare Inputs" sheetId="33" r:id="rId3"/>
    <sheet name="Revenue Target Calculation" sheetId="44" r:id="rId4"/>
    <sheet name="2025 Expenditures" sheetId="64" r:id="rId5"/>
    <sheet name="2024 Sales" sheetId="46" r:id="rId6"/>
    <sheet name="2025 Sales" sheetId="45" r:id="rId7"/>
    <sheet name="26-27Cost&amp;RevPerHour" sheetId="47" r:id="rId8"/>
    <sheet name="2027 Operating Runs" sheetId="52" r:id="rId9"/>
    <sheet name="2027 Operating Hours" sheetId="53" r:id="rId10"/>
    <sheet name="2026 Operating Runs " sheetId="50" r:id="rId11"/>
    <sheet name="2026 Operating Hours" sheetId="51" r:id="rId12"/>
    <sheet name="2025 Co. Ferry Ops Report" sheetId="48" r:id="rId13"/>
    <sheet name="Youth Grant" sheetId="49" r:id="rId14"/>
    <sheet name="CPI - Baseline Forecast, Annual" sheetId="54" r:id="rId15"/>
    <sheet name="FFRTR Table 2" sheetId="57" r:id="rId16"/>
    <sheet name="FFRTR Table 3" sheetId="58" r:id="rId17"/>
    <sheet name="FFRTR Table 4" sheetId="59" r:id="rId18"/>
    <sheet name="Table 5" sheetId="63" r:id="rId19"/>
    <sheet name="FFRTR Table 6-7" sheetId="55" r:id="rId20"/>
    <sheet name="FFRTR Table 8" sheetId="62" r:id="rId21"/>
    <sheet name="FFRTR Table 9" sheetId="60" r:id="rId22"/>
  </sheets>
  <externalReferences>
    <externalReference r:id="rId23"/>
  </externalReferences>
  <definedNames>
    <definedName name="_xlnm.Print_Area" localSheetId="5">'2024 Sales'!$A$1:$N$59</definedName>
    <definedName name="_xlnm.Print_Area" localSheetId="4">'2025 Expenditures'!$A$1:$H$52</definedName>
    <definedName name="_xlnm.Print_Area" localSheetId="6">'2025 Sales'!$A$1:$N$51</definedName>
    <definedName name="_xlnm.Print_Area" localSheetId="11">'2026 Operating Hours'!$A$1:$F$26</definedName>
    <definedName name="_xlnm.Print_Area" localSheetId="10">'2026 Operating Runs '!$A$1:$F$26</definedName>
    <definedName name="_xlnm.Print_Area" localSheetId="9">'2027 Operating Hours'!$A$1:$F$26</definedName>
    <definedName name="_xlnm.Print_Area" localSheetId="8">'2027 Operating Runs'!$A$1:$F$26</definedName>
    <definedName name="_xlnm.Print_Area" localSheetId="2">'Fare Inputs'!$A$87:$M$125</definedName>
    <definedName name="_xlnm.Print_Area" localSheetId="1">'Fare Schedules Print '!$A$1:$K$41</definedName>
    <definedName name="_xlnm.Print_Area" localSheetId="0">'Simple Fare Schedule Print'!$A$1:$E$39</definedName>
    <definedName name="_xlnm.Print_Area" localSheetId="18">'Table 5'!$A$2:$J$42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8" i="44" l="1"/>
  <c r="B42" i="44"/>
  <c r="H9" i="63"/>
  <c r="H7" i="63"/>
  <c r="H8" i="63"/>
  <c r="H6" i="63"/>
  <c r="H5" i="63"/>
  <c r="H4" i="63"/>
  <c r="H3" i="63"/>
  <c r="G70" i="47"/>
  <c r="E69" i="47"/>
  <c r="G50" i="47"/>
  <c r="E64" i="47" s="1"/>
  <c r="D50" i="47"/>
  <c r="D69" i="47" s="1"/>
  <c r="J50" i="47"/>
  <c r="G30" i="64"/>
  <c r="I79" i="33"/>
  <c r="I80" i="33"/>
  <c r="I81" i="33"/>
  <c r="I78" i="33"/>
  <c r="I65" i="33"/>
  <c r="I66" i="33"/>
  <c r="I67" i="33"/>
  <c r="I68" i="33"/>
  <c r="I64" i="33"/>
  <c r="I56" i="33"/>
  <c r="I57" i="33"/>
  <c r="I58" i="33"/>
  <c r="I55" i="33"/>
  <c r="H56" i="33"/>
  <c r="H57" i="33"/>
  <c r="H58" i="33"/>
  <c r="H64" i="33"/>
  <c r="H65" i="33"/>
  <c r="H66" i="33"/>
  <c r="H67" i="33"/>
  <c r="H68" i="33"/>
  <c r="H70" i="33"/>
  <c r="H71" i="33"/>
  <c r="H72" i="33"/>
  <c r="H73" i="33"/>
  <c r="H74" i="33"/>
  <c r="H75" i="33"/>
  <c r="H76" i="33"/>
  <c r="H78" i="33"/>
  <c r="H79" i="33"/>
  <c r="H80" i="33"/>
  <c r="H81" i="33"/>
  <c r="H82" i="33"/>
  <c r="H83" i="33"/>
  <c r="H84" i="33"/>
  <c r="H55" i="33"/>
  <c r="H5" i="33"/>
  <c r="F30" i="64"/>
  <c r="F14" i="64"/>
  <c r="H14" i="64" s="1"/>
  <c r="F16" i="64"/>
  <c r="F19" i="64"/>
  <c r="F20" i="64"/>
  <c r="F21" i="64"/>
  <c r="F22" i="64"/>
  <c r="F23" i="64"/>
  <c r="F24" i="64"/>
  <c r="F25" i="64"/>
  <c r="F26" i="64"/>
  <c r="F27" i="64"/>
  <c r="H12" i="64"/>
  <c r="H5" i="64"/>
  <c r="F4" i="64"/>
  <c r="H32" i="64"/>
  <c r="H28" i="64"/>
  <c r="H27" i="64"/>
  <c r="H26" i="64"/>
  <c r="H25" i="64"/>
  <c r="H24" i="64"/>
  <c r="H23" i="64"/>
  <c r="H22" i="64"/>
  <c r="H21" i="64"/>
  <c r="H19" i="64"/>
  <c r="H18" i="64"/>
  <c r="H17" i="64"/>
  <c r="H16" i="64"/>
  <c r="G11" i="64"/>
  <c r="F11" i="64"/>
  <c r="H10" i="64"/>
  <c r="H9" i="64"/>
  <c r="H8" i="64"/>
  <c r="H7" i="64"/>
  <c r="G6" i="64"/>
  <c r="F6" i="64"/>
  <c r="H4" i="64"/>
  <c r="E25" i="55"/>
  <c r="E3" i="55"/>
  <c r="E4" i="55"/>
  <c r="B10" i="60"/>
  <c r="F4" i="55"/>
  <c r="D4" i="62"/>
  <c r="E4" i="62"/>
  <c r="D3" i="62"/>
  <c r="E3" i="62"/>
  <c r="C4" i="62"/>
  <c r="C3" i="62"/>
  <c r="B4" i="62"/>
  <c r="B3" i="62"/>
  <c r="E5" i="62"/>
  <c r="D5" i="62"/>
  <c r="B5" i="62"/>
  <c r="G24" i="55"/>
  <c r="F4" i="62"/>
  <c r="G5" i="55"/>
  <c r="G3" i="55"/>
  <c r="F5" i="55"/>
  <c r="F3" i="62" s="1"/>
  <c r="F3" i="55"/>
  <c r="F8" i="63"/>
  <c r="F7" i="63"/>
  <c r="F5" i="63"/>
  <c r="F4" i="63"/>
  <c r="F3" i="63"/>
  <c r="E9" i="63"/>
  <c r="D9" i="63"/>
  <c r="C9" i="63"/>
  <c r="B9" i="63"/>
  <c r="B6" i="59"/>
  <c r="B9" i="58"/>
  <c r="B7" i="58"/>
  <c r="B3" i="57"/>
  <c r="B5" i="58"/>
  <c r="B6" i="58" s="1"/>
  <c r="B8" i="58" s="1"/>
  <c r="B10" i="58" s="1"/>
  <c r="B4" i="58"/>
  <c r="B3" i="58"/>
  <c r="B2" i="58"/>
  <c r="D38" i="54"/>
  <c r="H37" i="54"/>
  <c r="D37" i="54"/>
  <c r="H36" i="54"/>
  <c r="D36" i="54"/>
  <c r="H35" i="54"/>
  <c r="D35" i="54"/>
  <c r="H34" i="54"/>
  <c r="D34" i="54"/>
  <c r="H33" i="54"/>
  <c r="D33" i="54"/>
  <c r="H32" i="54"/>
  <c r="D32" i="54"/>
  <c r="H31" i="54"/>
  <c r="D31" i="54"/>
  <c r="H30" i="54"/>
  <c r="D30" i="54"/>
  <c r="H29" i="54"/>
  <c r="D29" i="54"/>
  <c r="H28" i="54"/>
  <c r="D28" i="54"/>
  <c r="H27" i="54"/>
  <c r="D27" i="54"/>
  <c r="H26" i="54"/>
  <c r="D26" i="54"/>
  <c r="H25" i="54"/>
  <c r="D25" i="54"/>
  <c r="H24" i="54"/>
  <c r="D24" i="54"/>
  <c r="H23" i="54"/>
  <c r="D23" i="54"/>
  <c r="H22" i="54"/>
  <c r="D22" i="54"/>
  <c r="H21" i="54"/>
  <c r="D21" i="54"/>
  <c r="H20" i="54"/>
  <c r="D20" i="54"/>
  <c r="H19" i="54"/>
  <c r="D19" i="54"/>
  <c r="H18" i="54"/>
  <c r="D18" i="54"/>
  <c r="H17" i="54"/>
  <c r="D17" i="54"/>
  <c r="H16" i="54"/>
  <c r="D16" i="54"/>
  <c r="H15" i="54"/>
  <c r="D15" i="54"/>
  <c r="H14" i="54"/>
  <c r="D14" i="54"/>
  <c r="H13" i="54"/>
  <c r="D13" i="54"/>
  <c r="H12" i="54"/>
  <c r="D12" i="54"/>
  <c r="H11" i="54"/>
  <c r="D11" i="54"/>
  <c r="H10" i="54"/>
  <c r="D10" i="54"/>
  <c r="H9" i="54"/>
  <c r="D9" i="54"/>
  <c r="H8" i="54"/>
  <c r="D8" i="54"/>
  <c r="E55" i="47"/>
  <c r="B56" i="47"/>
  <c r="C23" i="53"/>
  <c r="B21" i="53"/>
  <c r="B23" i="53" s="1"/>
  <c r="C20" i="53"/>
  <c r="B20" i="53"/>
  <c r="C17" i="53"/>
  <c r="B17" i="53"/>
  <c r="C14" i="53"/>
  <c r="B12" i="53"/>
  <c r="B14" i="53" s="1"/>
  <c r="C11" i="53"/>
  <c r="B11" i="53"/>
  <c r="C8" i="53"/>
  <c r="B6" i="53"/>
  <c r="B8" i="53" s="1"/>
  <c r="C5" i="53"/>
  <c r="C24" i="53" s="1"/>
  <c r="B5" i="53"/>
  <c r="B24" i="53" s="1"/>
  <c r="C23" i="52"/>
  <c r="B21" i="52"/>
  <c r="B23" i="52" s="1"/>
  <c r="C20" i="52"/>
  <c r="B20" i="52"/>
  <c r="C17" i="52"/>
  <c r="B17" i="52"/>
  <c r="C14" i="52"/>
  <c r="B14" i="52"/>
  <c r="C11" i="52"/>
  <c r="B9" i="52"/>
  <c r="B11" i="52" s="1"/>
  <c r="C8" i="52"/>
  <c r="B6" i="52"/>
  <c r="B8" i="52" s="1"/>
  <c r="C5" i="52"/>
  <c r="C24" i="52" s="1"/>
  <c r="B5" i="52"/>
  <c r="B24" i="52" s="1"/>
  <c r="C23" i="51"/>
  <c r="B21" i="51"/>
  <c r="B23" i="51" s="1"/>
  <c r="C20" i="51"/>
  <c r="B20" i="51"/>
  <c r="C17" i="51"/>
  <c r="B17" i="51"/>
  <c r="C14" i="51"/>
  <c r="B14" i="51"/>
  <c r="C11" i="51"/>
  <c r="B11" i="51"/>
  <c r="C8" i="51"/>
  <c r="B6" i="51"/>
  <c r="B8" i="51" s="1"/>
  <c r="C5" i="51"/>
  <c r="B5" i="51"/>
  <c r="B24" i="51" s="1"/>
  <c r="B24" i="50"/>
  <c r="C23" i="50"/>
  <c r="B23" i="50"/>
  <c r="C20" i="50"/>
  <c r="B20" i="50"/>
  <c r="C17" i="50"/>
  <c r="B17" i="50"/>
  <c r="C14" i="50"/>
  <c r="B14" i="50"/>
  <c r="C11" i="50"/>
  <c r="B11" i="50"/>
  <c r="C8" i="50"/>
  <c r="B8" i="50"/>
  <c r="C5" i="50"/>
  <c r="C24" i="50" s="1"/>
  <c r="D24" i="50" s="1"/>
  <c r="B5" i="50"/>
  <c r="G64" i="44"/>
  <c r="C65" i="44"/>
  <c r="D62" i="44"/>
  <c r="D63" i="44"/>
  <c r="J51" i="47"/>
  <c r="G44" i="47"/>
  <c r="D44" i="47"/>
  <c r="D45" i="47" s="1"/>
  <c r="J43" i="47"/>
  <c r="J42" i="47"/>
  <c r="J41" i="47"/>
  <c r="J40" i="47"/>
  <c r="J39" i="47"/>
  <c r="J38" i="47"/>
  <c r="J37" i="47"/>
  <c r="J36" i="47"/>
  <c r="J35" i="47"/>
  <c r="J34" i="47"/>
  <c r="J33" i="47"/>
  <c r="J32" i="47"/>
  <c r="J31" i="47"/>
  <c r="J30" i="47"/>
  <c r="J29" i="47"/>
  <c r="J28" i="47"/>
  <c r="J27" i="47"/>
  <c r="G24" i="47"/>
  <c r="D24" i="47"/>
  <c r="J23" i="47"/>
  <c r="J22" i="47"/>
  <c r="J21" i="47"/>
  <c r="J20" i="47"/>
  <c r="D17" i="47"/>
  <c r="J16" i="47"/>
  <c r="J14" i="47"/>
  <c r="J13" i="47"/>
  <c r="J12" i="47"/>
  <c r="J11" i="47"/>
  <c r="D8" i="47"/>
  <c r="J5" i="47"/>
  <c r="J3" i="47"/>
  <c r="D34" i="44"/>
  <c r="C7" i="42"/>
  <c r="B7" i="42"/>
  <c r="E7" i="42"/>
  <c r="D7" i="42"/>
  <c r="B5" i="33"/>
  <c r="C122" i="33"/>
  <c r="C124" i="33"/>
  <c r="C125" i="33"/>
  <c r="B122" i="33"/>
  <c r="B124" i="33"/>
  <c r="B125" i="33"/>
  <c r="B15" i="44"/>
  <c r="B10" i="44"/>
  <c r="D15" i="44"/>
  <c r="D10" i="44"/>
  <c r="K113" i="33"/>
  <c r="K112" i="33"/>
  <c r="K111" i="33"/>
  <c r="I37" i="37"/>
  <c r="C34" i="42" s="1"/>
  <c r="I36" i="37"/>
  <c r="C33" i="42" s="1"/>
  <c r="I35" i="37"/>
  <c r="C32" i="42" s="1"/>
  <c r="I34" i="37"/>
  <c r="C31" i="42" s="1"/>
  <c r="H35" i="37"/>
  <c r="B32" i="42" s="1"/>
  <c r="H36" i="37"/>
  <c r="B33" i="42" s="1"/>
  <c r="H37" i="37"/>
  <c r="B34" i="42" s="1"/>
  <c r="H34" i="37"/>
  <c r="B31" i="42" s="1"/>
  <c r="I31" i="37"/>
  <c r="C28" i="42" s="1"/>
  <c r="I30" i="37"/>
  <c r="C27" i="42" s="1"/>
  <c r="I29" i="37"/>
  <c r="C26" i="42" s="1"/>
  <c r="I28" i="37"/>
  <c r="C25" i="42" s="1"/>
  <c r="I27" i="37"/>
  <c r="C24" i="42" s="1"/>
  <c r="H28" i="37"/>
  <c r="B25" i="42" s="1"/>
  <c r="H29" i="37"/>
  <c r="B26" i="42" s="1"/>
  <c r="H30" i="37"/>
  <c r="B27" i="42" s="1"/>
  <c r="H31" i="37"/>
  <c r="B28" i="42" s="1"/>
  <c r="H27" i="37"/>
  <c r="B24" i="42" s="1"/>
  <c r="I25" i="37"/>
  <c r="C22" i="42" s="1"/>
  <c r="H25" i="37"/>
  <c r="B22" i="42" s="1"/>
  <c r="I23" i="37"/>
  <c r="C20" i="42" s="1"/>
  <c r="I22" i="37"/>
  <c r="C19" i="42" s="1"/>
  <c r="I21" i="37"/>
  <c r="C18" i="42" s="1"/>
  <c r="H22" i="37"/>
  <c r="B19" i="42" s="1"/>
  <c r="H23" i="37"/>
  <c r="B20" i="42" s="1"/>
  <c r="H21" i="37"/>
  <c r="B18" i="42" s="1"/>
  <c r="I19" i="37"/>
  <c r="C16" i="42" s="1"/>
  <c r="I18" i="37"/>
  <c r="C15" i="42" s="1"/>
  <c r="I17" i="37"/>
  <c r="C14" i="42" s="1"/>
  <c r="H18" i="37"/>
  <c r="B15" i="42" s="1"/>
  <c r="H19" i="37"/>
  <c r="B16" i="42" s="1"/>
  <c r="H17" i="37"/>
  <c r="B14" i="42" s="1"/>
  <c r="I15" i="37"/>
  <c r="C12" i="42" s="1"/>
  <c r="I14" i="37"/>
  <c r="C11" i="42" s="1"/>
  <c r="H15" i="37"/>
  <c r="B12" i="42" s="1"/>
  <c r="H14" i="37"/>
  <c r="B11" i="42" s="1"/>
  <c r="I9" i="37"/>
  <c r="C6" i="42" s="1"/>
  <c r="I11" i="37"/>
  <c r="C8" i="42" s="1"/>
  <c r="I12" i="37"/>
  <c r="C9" i="42" s="1"/>
  <c r="I8" i="37"/>
  <c r="C5" i="42" s="1"/>
  <c r="H9" i="37"/>
  <c r="B6" i="42" s="1"/>
  <c r="H11" i="37"/>
  <c r="B8" i="42" s="1"/>
  <c r="H12" i="37"/>
  <c r="B9" i="42" s="1"/>
  <c r="H8" i="37"/>
  <c r="B5" i="42" s="1"/>
  <c r="C15" i="44"/>
  <c r="C10" i="44"/>
  <c r="W98" i="33"/>
  <c r="M59" i="46"/>
  <c r="L59" i="46"/>
  <c r="K59" i="46"/>
  <c r="J59" i="46"/>
  <c r="I59" i="46"/>
  <c r="H59" i="46"/>
  <c r="G59" i="46"/>
  <c r="F59" i="46"/>
  <c r="E59" i="46"/>
  <c r="D59" i="46"/>
  <c r="C59" i="46"/>
  <c r="B59" i="46"/>
  <c r="M58" i="46"/>
  <c r="L58" i="46"/>
  <c r="K58" i="46"/>
  <c r="J58" i="46"/>
  <c r="I58" i="46"/>
  <c r="H58" i="46"/>
  <c r="G58" i="46"/>
  <c r="F58" i="46"/>
  <c r="E58" i="46"/>
  <c r="D58" i="46"/>
  <c r="C58" i="46"/>
  <c r="B58" i="46"/>
  <c r="M57" i="46"/>
  <c r="L57" i="46"/>
  <c r="K57" i="46"/>
  <c r="J57" i="46"/>
  <c r="I57" i="46"/>
  <c r="H57" i="46"/>
  <c r="G57" i="46"/>
  <c r="F57" i="46"/>
  <c r="E57" i="46"/>
  <c r="D57" i="46"/>
  <c r="C57" i="46"/>
  <c r="B57" i="46"/>
  <c r="M56" i="46"/>
  <c r="L56" i="46"/>
  <c r="K56" i="46"/>
  <c r="J56" i="46"/>
  <c r="I56" i="46"/>
  <c r="H56" i="46"/>
  <c r="G56" i="46"/>
  <c r="F56" i="46"/>
  <c r="E56" i="46"/>
  <c r="D56" i="46"/>
  <c r="C56" i="46"/>
  <c r="B56" i="46"/>
  <c r="M51" i="46"/>
  <c r="L51" i="46"/>
  <c r="K51" i="46"/>
  <c r="J51" i="46"/>
  <c r="I51" i="46"/>
  <c r="H51" i="46"/>
  <c r="G51" i="46"/>
  <c r="F51" i="46"/>
  <c r="E51" i="46"/>
  <c r="D51" i="46"/>
  <c r="C51" i="46"/>
  <c r="B51" i="46"/>
  <c r="M50" i="46"/>
  <c r="L50" i="46"/>
  <c r="K50" i="46"/>
  <c r="J50" i="46"/>
  <c r="I50" i="46"/>
  <c r="H50" i="46"/>
  <c r="G50" i="46"/>
  <c r="F50" i="46"/>
  <c r="E50" i="46"/>
  <c r="D50" i="46"/>
  <c r="C50" i="46"/>
  <c r="B50" i="46"/>
  <c r="M49" i="46"/>
  <c r="L49" i="46"/>
  <c r="K49" i="46"/>
  <c r="J49" i="46"/>
  <c r="I49" i="46"/>
  <c r="H49" i="46"/>
  <c r="G49" i="46"/>
  <c r="F49" i="46"/>
  <c r="E49" i="46"/>
  <c r="D49" i="46"/>
  <c r="C49" i="46"/>
  <c r="B49" i="46"/>
  <c r="N48" i="46"/>
  <c r="M48" i="46"/>
  <c r="L48" i="46"/>
  <c r="K48" i="46"/>
  <c r="J48" i="46"/>
  <c r="I48" i="46"/>
  <c r="H48" i="46"/>
  <c r="G48" i="46"/>
  <c r="F48" i="46"/>
  <c r="E48" i="46"/>
  <c r="D48" i="46"/>
  <c r="C48" i="46"/>
  <c r="B48" i="46"/>
  <c r="N47" i="46"/>
  <c r="M47" i="46"/>
  <c r="L47" i="46"/>
  <c r="K47" i="46"/>
  <c r="J47" i="46"/>
  <c r="I47" i="46"/>
  <c r="H47" i="46"/>
  <c r="G47" i="46"/>
  <c r="F47" i="46"/>
  <c r="E47" i="46"/>
  <c r="D47" i="46"/>
  <c r="C47" i="46"/>
  <c r="B47" i="46"/>
  <c r="M46" i="46"/>
  <c r="L46" i="46"/>
  <c r="K46" i="46"/>
  <c r="J46" i="46"/>
  <c r="I46" i="46"/>
  <c r="H46" i="46"/>
  <c r="G46" i="46"/>
  <c r="F46" i="46"/>
  <c r="E46" i="46"/>
  <c r="D46" i="46"/>
  <c r="C46" i="46"/>
  <c r="B46" i="46"/>
  <c r="M44" i="46"/>
  <c r="L44" i="46"/>
  <c r="K44" i="46"/>
  <c r="J44" i="46"/>
  <c r="I44" i="46"/>
  <c r="H44" i="46"/>
  <c r="G44" i="46"/>
  <c r="E44" i="46"/>
  <c r="D44" i="46"/>
  <c r="C44" i="46"/>
  <c r="B44" i="46"/>
  <c r="F43" i="46"/>
  <c r="N42" i="46"/>
  <c r="N41" i="46"/>
  <c r="N40" i="46"/>
  <c r="N39" i="46"/>
  <c r="N38" i="46"/>
  <c r="N37" i="46"/>
  <c r="N36" i="46"/>
  <c r="N35" i="46"/>
  <c r="N34" i="46"/>
  <c r="N33" i="46"/>
  <c r="N32" i="46"/>
  <c r="N31" i="46"/>
  <c r="N30" i="46"/>
  <c r="N29" i="46"/>
  <c r="N28" i="46"/>
  <c r="N27" i="46"/>
  <c r="N26" i="46"/>
  <c r="N25" i="46"/>
  <c r="N24" i="46"/>
  <c r="N23" i="46"/>
  <c r="N22" i="46"/>
  <c r="N21" i="46"/>
  <c r="N20" i="46"/>
  <c r="N19" i="46"/>
  <c r="N18" i="46"/>
  <c r="N17" i="46"/>
  <c r="N16" i="46"/>
  <c r="N15" i="46"/>
  <c r="N14" i="46"/>
  <c r="N13" i="46"/>
  <c r="N12" i="46"/>
  <c r="N11" i="46"/>
  <c r="N10" i="46"/>
  <c r="N9" i="46"/>
  <c r="N8" i="46"/>
  <c r="N7" i="46"/>
  <c r="N6" i="46"/>
  <c r="N5" i="46"/>
  <c r="N4" i="46"/>
  <c r="B43" i="45"/>
  <c r="L42" i="45"/>
  <c r="K42" i="45"/>
  <c r="J41" i="45"/>
  <c r="M40" i="45"/>
  <c r="L40" i="45"/>
  <c r="K39" i="45"/>
  <c r="I39" i="45"/>
  <c r="H39" i="45"/>
  <c r="G39" i="45"/>
  <c r="L38" i="45"/>
  <c r="K38" i="45"/>
  <c r="D38" i="45"/>
  <c r="J37" i="45"/>
  <c r="I37" i="45"/>
  <c r="H37" i="45"/>
  <c r="G37" i="45"/>
  <c r="M36" i="45"/>
  <c r="L36" i="45"/>
  <c r="K36" i="45"/>
  <c r="D36" i="45"/>
  <c r="K35" i="45"/>
  <c r="J35" i="45"/>
  <c r="I35" i="45"/>
  <c r="H35" i="45"/>
  <c r="G35" i="45"/>
  <c r="K34" i="45"/>
  <c r="C34" i="45"/>
  <c r="C33" i="45"/>
  <c r="N32" i="45"/>
  <c r="C31" i="45"/>
  <c r="N30" i="45"/>
  <c r="C29" i="45"/>
  <c r="N28" i="45"/>
  <c r="C27" i="45"/>
  <c r="N26" i="45"/>
  <c r="L25" i="45"/>
  <c r="K25" i="45"/>
  <c r="J25" i="45"/>
  <c r="I25" i="45"/>
  <c r="H25" i="45"/>
  <c r="G25" i="45"/>
  <c r="D25" i="45"/>
  <c r="L24" i="45"/>
  <c r="K24" i="45"/>
  <c r="J24" i="45"/>
  <c r="I24" i="45"/>
  <c r="H24" i="45"/>
  <c r="G24" i="45"/>
  <c r="M23" i="45"/>
  <c r="L23" i="45"/>
  <c r="K23" i="45"/>
  <c r="J23" i="45"/>
  <c r="I23" i="45"/>
  <c r="H23" i="45"/>
  <c r="G23" i="45"/>
  <c r="F23" i="45"/>
  <c r="M22" i="45"/>
  <c r="L22" i="45"/>
  <c r="K22" i="45"/>
  <c r="J22" i="45"/>
  <c r="I22" i="45"/>
  <c r="H22" i="45"/>
  <c r="G22" i="45"/>
  <c r="F22" i="45"/>
  <c r="D22" i="45"/>
  <c r="N21" i="45"/>
  <c r="C21" i="45"/>
  <c r="N20" i="45"/>
  <c r="N19" i="45"/>
  <c r="C19" i="45"/>
  <c r="N18" i="45"/>
  <c r="C17" i="45"/>
  <c r="N16" i="45"/>
  <c r="M15" i="45"/>
  <c r="L15" i="45"/>
  <c r="K15" i="45"/>
  <c r="F15" i="45"/>
  <c r="E15" i="45"/>
  <c r="D15" i="45"/>
  <c r="J14" i="45"/>
  <c r="I14" i="45"/>
  <c r="H14" i="45"/>
  <c r="G14" i="45"/>
  <c r="F14" i="45"/>
  <c r="M13" i="45"/>
  <c r="L13" i="45"/>
  <c r="K13" i="45"/>
  <c r="F13" i="45"/>
  <c r="E13" i="45"/>
  <c r="D13" i="45"/>
  <c r="I12" i="45"/>
  <c r="H12" i="45"/>
  <c r="G12" i="45"/>
  <c r="F12" i="45"/>
  <c r="C11" i="45"/>
  <c r="N10" i="45"/>
  <c r="C9" i="45"/>
  <c r="N8" i="45"/>
  <c r="C7" i="45"/>
  <c r="N6" i="45"/>
  <c r="C5" i="45"/>
  <c r="N4" i="45"/>
  <c r="C56" i="33"/>
  <c r="C57" i="33"/>
  <c r="C58" i="33"/>
  <c r="C64" i="33"/>
  <c r="C65" i="33"/>
  <c r="C66" i="33"/>
  <c r="C67" i="33"/>
  <c r="C68" i="33"/>
  <c r="C70" i="33"/>
  <c r="C71" i="33"/>
  <c r="C75" i="33"/>
  <c r="C76" i="33"/>
  <c r="C78" i="33"/>
  <c r="C79" i="33"/>
  <c r="C80" i="33"/>
  <c r="C81" i="33"/>
  <c r="B56" i="33"/>
  <c r="B57" i="33"/>
  <c r="B58" i="33"/>
  <c r="B64" i="33"/>
  <c r="B65" i="33"/>
  <c r="B66" i="33"/>
  <c r="B67" i="33"/>
  <c r="B68" i="33"/>
  <c r="B70" i="33"/>
  <c r="B71" i="33"/>
  <c r="B75" i="33"/>
  <c r="B76" i="33"/>
  <c r="B78" i="33"/>
  <c r="B79" i="33"/>
  <c r="B80" i="33"/>
  <c r="B81" i="33"/>
  <c r="B85" i="33"/>
  <c r="C55" i="33"/>
  <c r="B55" i="33"/>
  <c r="F74" i="33"/>
  <c r="G74" i="33"/>
  <c r="C74" i="33" s="1"/>
  <c r="F73" i="33"/>
  <c r="G73" i="33"/>
  <c r="C73" i="33" s="1"/>
  <c r="I70" i="33"/>
  <c r="I71" i="33"/>
  <c r="I75" i="33"/>
  <c r="I76" i="33"/>
  <c r="G72" i="33"/>
  <c r="C72" i="33" s="1"/>
  <c r="F72" i="33"/>
  <c r="G62" i="33"/>
  <c r="C62" i="33" s="1"/>
  <c r="F62" i="33"/>
  <c r="F60" i="33"/>
  <c r="G60" i="33"/>
  <c r="C60" i="33" s="1"/>
  <c r="F61" i="33"/>
  <c r="G61" i="33"/>
  <c r="C61" i="33" s="1"/>
  <c r="D74" i="33"/>
  <c r="B74" i="33" s="1"/>
  <c r="D72" i="33"/>
  <c r="B72" i="33" s="1"/>
  <c r="D73" i="33"/>
  <c r="B73" i="33" s="1"/>
  <c r="E85" i="33"/>
  <c r="I85" i="33" s="1"/>
  <c r="D84" i="33"/>
  <c r="E84" i="33"/>
  <c r="I84" i="33" s="1"/>
  <c r="D83" i="33"/>
  <c r="E83" i="33"/>
  <c r="I83" i="33" s="1"/>
  <c r="D82" i="33"/>
  <c r="E82" i="33"/>
  <c r="I82" i="33" s="1"/>
  <c r="D62" i="33"/>
  <c r="D60" i="33"/>
  <c r="D61" i="33"/>
  <c r="I7" i="63" l="1"/>
  <c r="I6" i="63"/>
  <c r="I5" i="63"/>
  <c r="I4" i="63"/>
  <c r="I3" i="63"/>
  <c r="J24" i="47"/>
  <c r="J44" i="47"/>
  <c r="G45" i="47"/>
  <c r="J45" i="47" s="1"/>
  <c r="B62" i="33"/>
  <c r="H62" i="33"/>
  <c r="B60" i="33"/>
  <c r="H60" i="33"/>
  <c r="B61" i="33"/>
  <c r="H61" i="33"/>
  <c r="B4" i="57"/>
  <c r="F25" i="55"/>
  <c r="F6" i="63"/>
  <c r="G33" i="64"/>
  <c r="H30" i="64"/>
  <c r="H11" i="64"/>
  <c r="G29" i="64"/>
  <c r="F29" i="64"/>
  <c r="F33" i="64" s="1"/>
  <c r="H6" i="64"/>
  <c r="B33" i="44"/>
  <c r="C5" i="62"/>
  <c r="F5" i="62"/>
  <c r="C24" i="51"/>
  <c r="D46" i="47"/>
  <c r="D52" i="47" s="1"/>
  <c r="G25" i="55" s="1"/>
  <c r="I43" i="47"/>
  <c r="F43" i="47"/>
  <c r="I21" i="47"/>
  <c r="I42" i="47"/>
  <c r="F42" i="47"/>
  <c r="L42" i="47" s="1"/>
  <c r="I29" i="47"/>
  <c r="I41" i="47"/>
  <c r="F14" i="47"/>
  <c r="F41" i="47"/>
  <c r="I13" i="47"/>
  <c r="F16" i="47"/>
  <c r="F32" i="47"/>
  <c r="F29" i="47"/>
  <c r="I31" i="47"/>
  <c r="F15" i="47"/>
  <c r="F31" i="47"/>
  <c r="I23" i="47"/>
  <c r="I30" i="47"/>
  <c r="F30" i="47"/>
  <c r="F23" i="47"/>
  <c r="I22" i="47"/>
  <c r="F22" i="47"/>
  <c r="F21" i="47"/>
  <c r="I20" i="47"/>
  <c r="F20" i="47"/>
  <c r="I16" i="47"/>
  <c r="I14" i="47"/>
  <c r="E23" i="47"/>
  <c r="H41" i="47"/>
  <c r="H29" i="47"/>
  <c r="H32" i="47"/>
  <c r="H31" i="47"/>
  <c r="E22" i="47"/>
  <c r="H30" i="47"/>
  <c r="H43" i="47"/>
  <c r="H42" i="47"/>
  <c r="D24" i="53"/>
  <c r="D24" i="52"/>
  <c r="E56" i="47" s="1"/>
  <c r="E68" i="47" s="1"/>
  <c r="D24" i="51"/>
  <c r="B55" i="47" s="1"/>
  <c r="D64" i="47" s="1"/>
  <c r="H39" i="47"/>
  <c r="H34" i="47"/>
  <c r="H35" i="47"/>
  <c r="H33" i="47"/>
  <c r="H38" i="47"/>
  <c r="H36" i="47"/>
  <c r="H40" i="47"/>
  <c r="H27" i="47"/>
  <c r="H28" i="47"/>
  <c r="H37" i="47"/>
  <c r="G69" i="47"/>
  <c r="D68" i="47"/>
  <c r="F12" i="47"/>
  <c r="I32" i="47"/>
  <c r="I11" i="47"/>
  <c r="F11" i="47"/>
  <c r="I3" i="47"/>
  <c r="I37" i="47"/>
  <c r="F7" i="47"/>
  <c r="F6" i="47"/>
  <c r="I40" i="47"/>
  <c r="F40" i="47"/>
  <c r="I5" i="47"/>
  <c r="I39" i="47"/>
  <c r="F39" i="47"/>
  <c r="F5" i="47"/>
  <c r="I38" i="47"/>
  <c r="F38" i="47"/>
  <c r="F3" i="47"/>
  <c r="I28" i="47"/>
  <c r="F37" i="47"/>
  <c r="F28" i="47"/>
  <c r="I36" i="47"/>
  <c r="F36" i="47"/>
  <c r="I27" i="47"/>
  <c r="I35" i="47"/>
  <c r="F35" i="47"/>
  <c r="F27" i="47"/>
  <c r="I34" i="47"/>
  <c r="F34" i="47"/>
  <c r="F13" i="47"/>
  <c r="I33" i="47"/>
  <c r="F33" i="47"/>
  <c r="I12" i="47"/>
  <c r="I15" i="47"/>
  <c r="J15" i="47"/>
  <c r="G17" i="47"/>
  <c r="J17" i="47" s="1"/>
  <c r="I7" i="47"/>
  <c r="J7" i="47"/>
  <c r="I6" i="47"/>
  <c r="J6" i="47"/>
  <c r="G8" i="47"/>
  <c r="J8" i="47" s="1"/>
  <c r="C33" i="44"/>
  <c r="C85" i="33"/>
  <c r="B84" i="33"/>
  <c r="C84" i="33"/>
  <c r="B83" i="33"/>
  <c r="C83" i="33"/>
  <c r="B82" i="33"/>
  <c r="C82" i="33"/>
  <c r="D33" i="44"/>
  <c r="N59" i="46"/>
  <c r="N58" i="46"/>
  <c r="N57" i="46"/>
  <c r="N56" i="46"/>
  <c r="N46" i="46"/>
  <c r="N44" i="46"/>
  <c r="F44" i="46"/>
  <c r="N43" i="46"/>
  <c r="N49" i="46" s="1"/>
  <c r="M43" i="45"/>
  <c r="L43" i="45"/>
  <c r="K43" i="45"/>
  <c r="J43" i="45"/>
  <c r="I43" i="45"/>
  <c r="H43" i="45"/>
  <c r="G43" i="45"/>
  <c r="F43" i="45"/>
  <c r="E43" i="45"/>
  <c r="D43" i="45"/>
  <c r="C43" i="45"/>
  <c r="N42" i="45"/>
  <c r="N41" i="45"/>
  <c r="N40" i="45"/>
  <c r="N39" i="45"/>
  <c r="N38" i="45"/>
  <c r="N37" i="45"/>
  <c r="N36" i="45"/>
  <c r="N35" i="45"/>
  <c r="N34" i="45"/>
  <c r="N33" i="45"/>
  <c r="N31" i="45"/>
  <c r="N29" i="45"/>
  <c r="N27" i="45"/>
  <c r="N25" i="45"/>
  <c r="N24" i="45"/>
  <c r="N23" i="45"/>
  <c r="N22" i="45"/>
  <c r="N12" i="45"/>
  <c r="N11" i="45"/>
  <c r="N9" i="45"/>
  <c r="N7" i="45"/>
  <c r="N5" i="45"/>
  <c r="N17" i="45"/>
  <c r="N15" i="45"/>
  <c r="N14" i="45"/>
  <c r="N13" i="45"/>
  <c r="V98" i="33"/>
  <c r="X98" i="33" s="1"/>
  <c r="F8" i="47" l="1"/>
  <c r="L7" i="47"/>
  <c r="L6" i="47"/>
  <c r="F24" i="47"/>
  <c r="L16" i="47"/>
  <c r="L14" i="47"/>
  <c r="L31" i="47"/>
  <c r="F9" i="63"/>
  <c r="H29" i="64"/>
  <c r="H33" i="64"/>
  <c r="F36" i="64"/>
  <c r="F37" i="64"/>
  <c r="F40" i="64"/>
  <c r="F39" i="64"/>
  <c r="F38" i="64"/>
  <c r="G46" i="47"/>
  <c r="G52" i="47" s="1"/>
  <c r="J52" i="47" s="1"/>
  <c r="H6" i="47"/>
  <c r="H7" i="47"/>
  <c r="H15" i="47"/>
  <c r="H5" i="47"/>
  <c r="E5" i="47"/>
  <c r="H3" i="47"/>
  <c r="E3" i="47"/>
  <c r="E27" i="47"/>
  <c r="K27" i="47" s="1"/>
  <c r="H12" i="47"/>
  <c r="E28" i="47"/>
  <c r="E13" i="47"/>
  <c r="H11" i="47"/>
  <c r="E11" i="47"/>
  <c r="E33" i="47"/>
  <c r="K33" i="47" s="1"/>
  <c r="E34" i="47"/>
  <c r="K34" i="47" s="1"/>
  <c r="E35" i="47"/>
  <c r="K35" i="47" s="1"/>
  <c r="E36" i="47"/>
  <c r="K36" i="47" s="1"/>
  <c r="E37" i="47"/>
  <c r="K37" i="47" s="1"/>
  <c r="E7" i="47"/>
  <c r="E38" i="47"/>
  <c r="K38" i="47" s="1"/>
  <c r="E39" i="47"/>
  <c r="K39" i="47" s="1"/>
  <c r="E40" i="47"/>
  <c r="K40" i="47" s="1"/>
  <c r="E6" i="47"/>
  <c r="E12" i="47"/>
  <c r="D63" i="47"/>
  <c r="G64" i="47"/>
  <c r="E15" i="47"/>
  <c r="H23" i="47"/>
  <c r="K23" i="47" s="1"/>
  <c r="E16" i="47"/>
  <c r="E32" i="47"/>
  <c r="K32" i="47" s="1"/>
  <c r="H13" i="47"/>
  <c r="E41" i="47"/>
  <c r="K41" i="47" s="1"/>
  <c r="E14" i="47"/>
  <c r="H22" i="47"/>
  <c r="K22" i="47" s="1"/>
  <c r="H14" i="47"/>
  <c r="K14" i="47" s="1"/>
  <c r="E42" i="47"/>
  <c r="K42" i="47" s="1"/>
  <c r="H16" i="47"/>
  <c r="E43" i="47"/>
  <c r="K43" i="47" s="1"/>
  <c r="E20" i="47"/>
  <c r="E30" i="47"/>
  <c r="K30" i="47" s="1"/>
  <c r="H20" i="47"/>
  <c r="E29" i="47"/>
  <c r="E21" i="47"/>
  <c r="E31" i="47"/>
  <c r="K31" i="47" s="1"/>
  <c r="H21" i="47"/>
  <c r="K21" i="47" s="1"/>
  <c r="L13" i="47"/>
  <c r="L15" i="47"/>
  <c r="L20" i="47"/>
  <c r="I24" i="47"/>
  <c r="L29" i="47"/>
  <c r="L30" i="47"/>
  <c r="K29" i="47"/>
  <c r="L32" i="47"/>
  <c r="L43" i="47"/>
  <c r="L21" i="47"/>
  <c r="L41" i="47"/>
  <c r="L23" i="47"/>
  <c r="L22" i="47"/>
  <c r="F17" i="47"/>
  <c r="L37" i="47"/>
  <c r="H44" i="47"/>
  <c r="D70" i="47"/>
  <c r="L11" i="47"/>
  <c r="I17" i="47"/>
  <c r="L3" i="47"/>
  <c r="I8" i="47"/>
  <c r="L27" i="47"/>
  <c r="I44" i="47"/>
  <c r="L28" i="47"/>
  <c r="L36" i="47"/>
  <c r="L35" i="47"/>
  <c r="F44" i="47"/>
  <c r="F45" i="47" s="1"/>
  <c r="L34" i="47"/>
  <c r="L33" i="47"/>
  <c r="L12" i="47"/>
  <c r="K28" i="47"/>
  <c r="L40" i="47"/>
  <c r="L5" i="47"/>
  <c r="L39" i="47"/>
  <c r="L38" i="47"/>
  <c r="D48" i="44"/>
  <c r="N51" i="46"/>
  <c r="N50" i="46"/>
  <c r="N43" i="45"/>
  <c r="L17" i="47" l="1"/>
  <c r="L8" i="47"/>
  <c r="K11" i="47"/>
  <c r="K15" i="47"/>
  <c r="E8" i="47"/>
  <c r="E17" i="47"/>
  <c r="D65" i="47"/>
  <c r="K16" i="47"/>
  <c r="L24" i="47"/>
  <c r="E44" i="47"/>
  <c r="J46" i="47"/>
  <c r="K13" i="47"/>
  <c r="H17" i="47"/>
  <c r="K3" i="47"/>
  <c r="H8" i="47"/>
  <c r="H45" i="47"/>
  <c r="I45" i="47"/>
  <c r="L45" i="47" s="1"/>
  <c r="L44" i="47"/>
  <c r="G7" i="63"/>
  <c r="G8" i="63"/>
  <c r="G3" i="63"/>
  <c r="G4" i="63"/>
  <c r="G5" i="63"/>
  <c r="G6" i="63"/>
  <c r="F41" i="64"/>
  <c r="K20" i="47"/>
  <c r="H24" i="47"/>
  <c r="K6" i="47"/>
  <c r="K7" i="47"/>
  <c r="K5" i="47"/>
  <c r="K12" i="47"/>
  <c r="E24" i="47"/>
  <c r="F46" i="47"/>
  <c r="I46" i="47"/>
  <c r="C39" i="44"/>
  <c r="C61" i="44" s="1"/>
  <c r="D35" i="44"/>
  <c r="E35" i="44" s="1"/>
  <c r="F35" i="44" s="1"/>
  <c r="B39" i="44"/>
  <c r="B61" i="44" s="1"/>
  <c r="B65" i="44" s="1"/>
  <c r="E62" i="44"/>
  <c r="C44" i="44"/>
  <c r="C43" i="44"/>
  <c r="C45" i="44" s="1"/>
  <c r="K17" i="47" l="1"/>
  <c r="L46" i="47"/>
  <c r="K8" i="47"/>
  <c r="K24" i="47"/>
  <c r="E45" i="47"/>
  <c r="K45" i="47" s="1"/>
  <c r="K44" i="47"/>
  <c r="E46" i="47"/>
  <c r="G9" i="63"/>
  <c r="I8" i="63"/>
  <c r="I9" i="63" s="1"/>
  <c r="C75" i="47"/>
  <c r="B39" i="42" s="1"/>
  <c r="H46" i="47"/>
  <c r="C73" i="47"/>
  <c r="B37" i="42" s="1"/>
  <c r="C72" i="47"/>
  <c r="B36" i="42" s="1"/>
  <c r="D36" i="44"/>
  <c r="D37" i="44" s="1"/>
  <c r="E37" i="44" s="1"/>
  <c r="F37" i="44" s="1"/>
  <c r="F62" i="44"/>
  <c r="E63" i="44"/>
  <c r="F63" i="44"/>
  <c r="C74" i="47" l="1"/>
  <c r="B38" i="42" s="1"/>
  <c r="K46" i="47"/>
  <c r="G62" i="44"/>
  <c r="E36" i="44"/>
  <c r="F36" i="44" s="1"/>
  <c r="F39" i="44" s="1"/>
  <c r="F61" i="44" s="1"/>
  <c r="G63" i="44"/>
  <c r="D39" i="44"/>
  <c r="D61" i="44" s="1"/>
  <c r="D65" i="44" s="1"/>
  <c r="G4" i="55" s="1"/>
  <c r="F65" i="44" l="1"/>
  <c r="I3" i="55"/>
  <c r="J3" i="55" s="1"/>
  <c r="E39" i="44"/>
  <c r="E61" i="44" s="1"/>
  <c r="B13" i="33"/>
  <c r="H13" i="33" s="1"/>
  <c r="C13" i="33"/>
  <c r="I13" i="33" s="1"/>
  <c r="B14" i="33"/>
  <c r="H14" i="33" s="1"/>
  <c r="C14" i="33"/>
  <c r="I14" i="33"/>
  <c r="K14" i="33" s="1"/>
  <c r="P14" i="33" s="1"/>
  <c r="H15" i="33"/>
  <c r="J15" i="33" s="1"/>
  <c r="O15" i="33" s="1"/>
  <c r="I15" i="33"/>
  <c r="K15" i="33" s="1"/>
  <c r="P15" i="33" s="1"/>
  <c r="B16" i="33"/>
  <c r="H16" i="33" s="1"/>
  <c r="J16" i="33" s="1"/>
  <c r="O16" i="33" s="1"/>
  <c r="C16" i="33"/>
  <c r="I16" i="33" s="1"/>
  <c r="K16" i="33" s="1"/>
  <c r="P16" i="33" s="1"/>
  <c r="B17" i="33"/>
  <c r="H17" i="33" s="1"/>
  <c r="C17" i="33"/>
  <c r="I17" i="33" s="1"/>
  <c r="B19" i="33"/>
  <c r="E19" i="33"/>
  <c r="C19" i="33" s="1"/>
  <c r="I19" i="33" s="1"/>
  <c r="B20" i="33"/>
  <c r="H20" i="33" s="1"/>
  <c r="J20" i="33" s="1"/>
  <c r="O20" i="33" s="1"/>
  <c r="E20" i="33"/>
  <c r="B22" i="33"/>
  <c r="H22" i="33" s="1"/>
  <c r="C22" i="33"/>
  <c r="I22" i="33" s="1"/>
  <c r="B23" i="33"/>
  <c r="H23" i="33" s="1"/>
  <c r="J23" i="33" s="1"/>
  <c r="O23" i="33" s="1"/>
  <c r="C23" i="33"/>
  <c r="I23" i="33" s="1"/>
  <c r="N23" i="33" s="1"/>
  <c r="B24" i="33"/>
  <c r="C24" i="33"/>
  <c r="I24" i="33" s="1"/>
  <c r="H24" i="33"/>
  <c r="M24" i="33" s="1"/>
  <c r="B26" i="33"/>
  <c r="H26" i="33" s="1"/>
  <c r="E26" i="33"/>
  <c r="C26" i="33" s="1"/>
  <c r="I26" i="33" s="1"/>
  <c r="B27" i="33"/>
  <c r="H27" i="33" s="1"/>
  <c r="J27" i="33" s="1"/>
  <c r="O27" i="33" s="1"/>
  <c r="E27" i="33"/>
  <c r="C27" i="33" s="1"/>
  <c r="I27" i="33" s="1"/>
  <c r="B28" i="33"/>
  <c r="H28" i="33" s="1"/>
  <c r="E28" i="33"/>
  <c r="C28" i="33" s="1"/>
  <c r="I28" i="33" s="1"/>
  <c r="H30" i="33"/>
  <c r="J30" i="33" s="1"/>
  <c r="O30" i="33" s="1"/>
  <c r="I30" i="33"/>
  <c r="N30" i="33" s="1"/>
  <c r="K30" i="33"/>
  <c r="P30" i="33" s="1"/>
  <c r="H31" i="33"/>
  <c r="J31" i="33" s="1"/>
  <c r="O31" i="33" s="1"/>
  <c r="I31" i="33"/>
  <c r="N31" i="33" s="1"/>
  <c r="K31" i="33"/>
  <c r="P31" i="33" s="1"/>
  <c r="H32" i="33"/>
  <c r="J32" i="33" s="1"/>
  <c r="O32" i="33" s="1"/>
  <c r="I32" i="33"/>
  <c r="N32" i="33" s="1"/>
  <c r="K32" i="33"/>
  <c r="P32" i="33" s="1"/>
  <c r="H33" i="33"/>
  <c r="J33" i="33" s="1"/>
  <c r="O33" i="33" s="1"/>
  <c r="I33" i="33"/>
  <c r="N33" i="33" s="1"/>
  <c r="K33" i="33"/>
  <c r="P33" i="33" s="1"/>
  <c r="B35" i="33"/>
  <c r="H35" i="33" s="1"/>
  <c r="C35" i="33"/>
  <c r="I35" i="33" s="1"/>
  <c r="B36" i="33"/>
  <c r="C36" i="33"/>
  <c r="H36" i="33"/>
  <c r="M36" i="33" s="1"/>
  <c r="I36" i="33"/>
  <c r="N36" i="33" s="1"/>
  <c r="B37" i="33"/>
  <c r="C37" i="33"/>
  <c r="I37" i="33" s="1"/>
  <c r="N37" i="33" s="1"/>
  <c r="B38" i="33"/>
  <c r="H38" i="33" s="1"/>
  <c r="C38" i="33"/>
  <c r="B39" i="33"/>
  <c r="H39" i="33" s="1"/>
  <c r="C39" i="33"/>
  <c r="I39" i="33" s="1"/>
  <c r="B40" i="33"/>
  <c r="H40" i="33" s="1"/>
  <c r="J40" i="33" s="1"/>
  <c r="O40" i="33" s="1"/>
  <c r="C40" i="33"/>
  <c r="I40" i="33" s="1"/>
  <c r="K40" i="33" s="1"/>
  <c r="P40" i="33" s="1"/>
  <c r="B41" i="33"/>
  <c r="H41" i="33" s="1"/>
  <c r="M41" i="33" s="1"/>
  <c r="C41" i="33"/>
  <c r="I41" i="33" s="1"/>
  <c r="N41" i="33" s="1"/>
  <c r="B42" i="33"/>
  <c r="H42" i="33" s="1"/>
  <c r="C42" i="33"/>
  <c r="I42" i="33" s="1"/>
  <c r="K42" i="33" s="1"/>
  <c r="P42" i="33" s="1"/>
  <c r="B43" i="33"/>
  <c r="H43" i="33" s="1"/>
  <c r="C43" i="33"/>
  <c r="I43" i="33" s="1"/>
  <c r="B44" i="33"/>
  <c r="C44" i="33"/>
  <c r="B47" i="33"/>
  <c r="H47" i="33" s="1"/>
  <c r="M47" i="33" s="1"/>
  <c r="C47" i="33"/>
  <c r="I47" i="33" s="1"/>
  <c r="N47" i="33" s="1"/>
  <c r="K47" i="33"/>
  <c r="P47" i="33" s="1"/>
  <c r="B48" i="33"/>
  <c r="H48" i="33" s="1"/>
  <c r="C48" i="33"/>
  <c r="K48" i="33"/>
  <c r="P48" i="33" s="1"/>
  <c r="B49" i="33"/>
  <c r="H49" i="33" s="1"/>
  <c r="C49" i="33"/>
  <c r="I49" i="33" s="1"/>
  <c r="N49" i="33" s="1"/>
  <c r="K49" i="33"/>
  <c r="P49" i="33" s="1"/>
  <c r="B50" i="33"/>
  <c r="H50" i="33" s="1"/>
  <c r="J50" i="33" s="1"/>
  <c r="O50" i="33" s="1"/>
  <c r="C50" i="33"/>
  <c r="I50" i="33"/>
  <c r="N50" i="33" s="1"/>
  <c r="K50" i="33"/>
  <c r="P50" i="33" s="1"/>
  <c r="B51" i="33"/>
  <c r="H51" i="33" s="1"/>
  <c r="M51" i="33" s="1"/>
  <c r="C51" i="33"/>
  <c r="K51" i="33"/>
  <c r="P51" i="33" s="1"/>
  <c r="C31" i="37"/>
  <c r="B31" i="37"/>
  <c r="C35" i="37"/>
  <c r="C36" i="37"/>
  <c r="C37" i="37"/>
  <c r="C34" i="37"/>
  <c r="B35" i="37"/>
  <c r="B36" i="37"/>
  <c r="B37" i="37"/>
  <c r="B34" i="37"/>
  <c r="C28" i="37"/>
  <c r="C29" i="37"/>
  <c r="C30" i="37"/>
  <c r="C27" i="37"/>
  <c r="B28" i="37"/>
  <c r="B29" i="37"/>
  <c r="B30" i="37"/>
  <c r="B27" i="37"/>
  <c r="C25" i="37"/>
  <c r="B25" i="37"/>
  <c r="C22" i="37"/>
  <c r="C23" i="37"/>
  <c r="B22" i="37"/>
  <c r="B23" i="37"/>
  <c r="C21" i="37"/>
  <c r="B21" i="37"/>
  <c r="C19" i="37"/>
  <c r="C18" i="37"/>
  <c r="C17" i="37"/>
  <c r="B18" i="37"/>
  <c r="B19" i="37"/>
  <c r="B17" i="37"/>
  <c r="C15" i="37"/>
  <c r="C14" i="37"/>
  <c r="B15" i="37"/>
  <c r="B14" i="37"/>
  <c r="C12" i="37"/>
  <c r="C11" i="37"/>
  <c r="C9" i="37"/>
  <c r="C8" i="37"/>
  <c r="B9" i="37"/>
  <c r="B12" i="37"/>
  <c r="B11" i="37"/>
  <c r="B8" i="37"/>
  <c r="E65" i="44" l="1"/>
  <c r="H3" i="55"/>
  <c r="I44" i="33"/>
  <c r="K44" i="33" s="1"/>
  <c r="P44" i="33" s="1"/>
  <c r="I38" i="33"/>
  <c r="K38" i="33" s="1"/>
  <c r="P38" i="33" s="1"/>
  <c r="H37" i="33"/>
  <c r="M37" i="33" s="1"/>
  <c r="H19" i="33"/>
  <c r="J19" i="33" s="1"/>
  <c r="O19" i="33" s="1"/>
  <c r="H44" i="33"/>
  <c r="M44" i="33" s="1"/>
  <c r="C20" i="33"/>
  <c r="I20" i="33" s="1"/>
  <c r="I48" i="33"/>
  <c r="N48" i="33" s="1"/>
  <c r="I51" i="33"/>
  <c r="N51" i="33" s="1"/>
  <c r="G61" i="44"/>
  <c r="G65" i="44" s="1"/>
  <c r="K37" i="33"/>
  <c r="P37" i="33" s="1"/>
  <c r="J24" i="33"/>
  <c r="O24" i="33" s="1"/>
  <c r="K36" i="33"/>
  <c r="P36" i="33" s="1"/>
  <c r="J36" i="33"/>
  <c r="O36" i="33" s="1"/>
  <c r="M27" i="33"/>
  <c r="N14" i="33"/>
  <c r="N40" i="33"/>
  <c r="M50" i="33"/>
  <c r="M40" i="33"/>
  <c r="M23" i="33"/>
  <c r="M15" i="33"/>
  <c r="N15" i="33"/>
  <c r="K41" i="33"/>
  <c r="P41" i="33" s="1"/>
  <c r="M35" i="33"/>
  <c r="J35" i="33"/>
  <c r="O35" i="33" s="1"/>
  <c r="J28" i="33"/>
  <c r="O28" i="33" s="1"/>
  <c r="M28" i="33"/>
  <c r="K43" i="33"/>
  <c r="P43" i="33" s="1"/>
  <c r="N43" i="33"/>
  <c r="M43" i="33"/>
  <c r="J43" i="33"/>
  <c r="O43" i="33" s="1"/>
  <c r="K24" i="33"/>
  <c r="P24" i="33" s="1"/>
  <c r="N24" i="33"/>
  <c r="K22" i="33"/>
  <c r="P22" i="33" s="1"/>
  <c r="N22" i="33"/>
  <c r="J48" i="33"/>
  <c r="O48" i="33" s="1"/>
  <c r="M48" i="33"/>
  <c r="K39" i="33"/>
  <c r="P39" i="33" s="1"/>
  <c r="N39" i="33"/>
  <c r="J22" i="33"/>
  <c r="O22" i="33" s="1"/>
  <c r="M22" i="33"/>
  <c r="N19" i="33"/>
  <c r="K19" i="33"/>
  <c r="P19" i="33" s="1"/>
  <c r="M39" i="33"/>
  <c r="J39" i="33"/>
  <c r="O39" i="33" s="1"/>
  <c r="N27" i="33"/>
  <c r="K27" i="33"/>
  <c r="P27" i="33" s="1"/>
  <c r="J38" i="33"/>
  <c r="O38" i="33" s="1"/>
  <c r="M38" i="33"/>
  <c r="J42" i="33"/>
  <c r="O42" i="33" s="1"/>
  <c r="M42" i="33"/>
  <c r="N35" i="33"/>
  <c r="K35" i="33"/>
  <c r="P35" i="33" s="1"/>
  <c r="K17" i="33"/>
  <c r="P17" i="33" s="1"/>
  <c r="N17" i="33"/>
  <c r="M14" i="33"/>
  <c r="J14" i="33"/>
  <c r="O14" i="33" s="1"/>
  <c r="K26" i="33"/>
  <c r="P26" i="33" s="1"/>
  <c r="N26" i="33"/>
  <c r="M17" i="33"/>
  <c r="J17" i="33"/>
  <c r="O17" i="33" s="1"/>
  <c r="K13" i="33"/>
  <c r="P13" i="33" s="1"/>
  <c r="N13" i="33"/>
  <c r="M49" i="33"/>
  <c r="J49" i="33"/>
  <c r="O49" i="33" s="1"/>
  <c r="K28" i="33"/>
  <c r="P28" i="33" s="1"/>
  <c r="N28" i="33"/>
  <c r="J26" i="33"/>
  <c r="O26" i="33" s="1"/>
  <c r="M26" i="33"/>
  <c r="J13" i="33"/>
  <c r="M13" i="33"/>
  <c r="J51" i="33"/>
  <c r="O51" i="33" s="1"/>
  <c r="J47" i="33"/>
  <c r="O47" i="33" s="1"/>
  <c r="J41" i="33"/>
  <c r="O41" i="33" s="1"/>
  <c r="K23" i="33"/>
  <c r="P23" i="33" s="1"/>
  <c r="N42" i="33"/>
  <c r="M20" i="33"/>
  <c r="N16" i="33"/>
  <c r="M33" i="33"/>
  <c r="M32" i="33"/>
  <c r="M31" i="33"/>
  <c r="M30" i="33"/>
  <c r="M16" i="33"/>
  <c r="G67" i="44" l="1"/>
  <c r="H5" i="55" s="1"/>
  <c r="H4" i="55"/>
  <c r="N44" i="33"/>
  <c r="N38" i="33"/>
  <c r="J37" i="33"/>
  <c r="O37" i="33" s="1"/>
  <c r="M19" i="33"/>
  <c r="J44" i="33"/>
  <c r="O44" i="33" s="1"/>
  <c r="K20" i="33"/>
  <c r="P20" i="33" s="1"/>
  <c r="N20" i="33"/>
  <c r="O13" i="33"/>
  <c r="U19" i="33"/>
  <c r="I4" i="55" l="1"/>
  <c r="B102" i="33"/>
  <c r="J4" i="55" l="1"/>
  <c r="J5" i="55" s="1"/>
  <c r="I5" i="55"/>
  <c r="C114" i="33"/>
  <c r="I114" i="33" s="1"/>
  <c r="B114" i="33"/>
  <c r="H114" i="33" s="1"/>
  <c r="B105" i="33"/>
  <c r="B106" i="33"/>
  <c r="B104" i="33"/>
  <c r="C102" i="33"/>
  <c r="C101" i="33"/>
  <c r="C100" i="33"/>
  <c r="I100" i="33" s="1"/>
  <c r="W99" i="33" s="1"/>
  <c r="B101" i="33"/>
  <c r="B100" i="33"/>
  <c r="H100" i="33" s="1"/>
  <c r="V99" i="33" s="1"/>
  <c r="C97" i="33"/>
  <c r="B97" i="33"/>
  <c r="C96" i="33"/>
  <c r="B96" i="33"/>
  <c r="C94" i="33"/>
  <c r="I94" i="33" s="1"/>
  <c r="C93" i="33"/>
  <c r="I93" i="33" s="1"/>
  <c r="W92" i="33" s="1"/>
  <c r="B94" i="33"/>
  <c r="H94" i="33" s="1"/>
  <c r="V93" i="33" s="1"/>
  <c r="B93" i="33"/>
  <c r="H93" i="33" s="1"/>
  <c r="V92" i="33" s="1"/>
  <c r="C106" i="33"/>
  <c r="C105" i="33"/>
  <c r="C104" i="33"/>
  <c r="X99" i="33" l="1"/>
  <c r="W94" i="33"/>
  <c r="W93" i="33"/>
  <c r="X92" i="33"/>
  <c r="E108" i="33"/>
  <c r="D108" i="33"/>
  <c r="X93" i="33" l="1"/>
  <c r="J108" i="33"/>
  <c r="B108" i="33"/>
  <c r="K108" i="33"/>
  <c r="C108" i="33"/>
  <c r="I102" i="33"/>
  <c r="W101" i="33" s="1"/>
  <c r="H102" i="33"/>
  <c r="I101" i="33"/>
  <c r="W100" i="33" s="1"/>
  <c r="H101" i="33"/>
  <c r="H106" i="33"/>
  <c r="V105" i="33" s="1"/>
  <c r="E12" i="37"/>
  <c r="K119" i="33"/>
  <c r="K120" i="33"/>
  <c r="K121" i="33"/>
  <c r="H105" i="33" l="1"/>
  <c r="V104" i="33" s="1"/>
  <c r="V101" i="33"/>
  <c r="X101" i="33" s="1"/>
  <c r="H104" i="33"/>
  <c r="V103" i="33" s="1"/>
  <c r="V100" i="33"/>
  <c r="X100" i="33" s="1"/>
  <c r="M100" i="33"/>
  <c r="K17" i="37" s="1"/>
  <c r="E14" i="42" s="1"/>
  <c r="I106" i="33"/>
  <c r="E18" i="37"/>
  <c r="I104" i="33"/>
  <c r="W103" i="33" s="1"/>
  <c r="M102" i="33"/>
  <c r="K19" i="37" s="1"/>
  <c r="E16" i="42" s="1"/>
  <c r="I108" i="33"/>
  <c r="W97" i="33" s="1"/>
  <c r="I105" i="33"/>
  <c r="W104" i="33" s="1"/>
  <c r="L93" i="33"/>
  <c r="J11" i="37" s="1"/>
  <c r="D8" i="42" s="1"/>
  <c r="D11" i="37"/>
  <c r="M93" i="33"/>
  <c r="K11" i="37" s="1"/>
  <c r="E8" i="42" s="1"/>
  <c r="E11" i="37"/>
  <c r="L94" i="33"/>
  <c r="J12" i="37" s="1"/>
  <c r="D9" i="42" s="1"/>
  <c r="D12" i="37"/>
  <c r="L102" i="33"/>
  <c r="J19" i="37" s="1"/>
  <c r="D16" i="42" s="1"/>
  <c r="H108" i="33"/>
  <c r="L100" i="33"/>
  <c r="J17" i="37" s="1"/>
  <c r="D14" i="42" s="1"/>
  <c r="D23" i="37"/>
  <c r="L101" i="33"/>
  <c r="J18" i="37" s="1"/>
  <c r="D15" i="42" s="1"/>
  <c r="E17" i="37"/>
  <c r="D19" i="37"/>
  <c r="E19" i="37"/>
  <c r="M94" i="33"/>
  <c r="K12" i="37" s="1"/>
  <c r="E9" i="42" s="1"/>
  <c r="D17" i="37"/>
  <c r="M101" i="33"/>
  <c r="K18" i="37" s="1"/>
  <c r="E15" i="42" s="1"/>
  <c r="D18" i="37"/>
  <c r="X103" i="33" l="1"/>
  <c r="M106" i="33"/>
  <c r="K23" i="37" s="1"/>
  <c r="E20" i="42" s="1"/>
  <c r="W105" i="33"/>
  <c r="L105" i="33"/>
  <c r="J22" i="37" s="1"/>
  <c r="D19" i="42" s="1"/>
  <c r="E21" i="37"/>
  <c r="X104" i="33"/>
  <c r="M108" i="33"/>
  <c r="K25" i="37" s="1"/>
  <c r="E22" i="42" s="1"/>
  <c r="M105" i="33"/>
  <c r="K22" i="37" s="1"/>
  <c r="E19" i="42" s="1"/>
  <c r="D25" i="37"/>
  <c r="V97" i="33"/>
  <c r="X97" i="33" s="1"/>
  <c r="E25" i="37"/>
  <c r="D22" i="37"/>
  <c r="L106" i="33"/>
  <c r="J23" i="37" s="1"/>
  <c r="D20" i="42" s="1"/>
  <c r="E23" i="37"/>
  <c r="L108" i="33"/>
  <c r="J25" i="37" s="1"/>
  <c r="D22" i="42" s="1"/>
  <c r="E22" i="37"/>
  <c r="M104" i="33"/>
  <c r="K21" i="37" s="1"/>
  <c r="E18" i="42" s="1"/>
  <c r="L104" i="33"/>
  <c r="J21" i="37" s="1"/>
  <c r="D18" i="42" s="1"/>
  <c r="D21" i="37"/>
  <c r="X105" i="33" l="1"/>
  <c r="B112" i="33" l="1"/>
  <c r="H112" i="33" s="1"/>
  <c r="V110" i="33" s="1"/>
  <c r="C110" i="33"/>
  <c r="I110" i="33" s="1"/>
  <c r="W108" i="33" s="1"/>
  <c r="B111" i="33"/>
  <c r="H111" i="33" s="1"/>
  <c r="V109" i="33" s="1"/>
  <c r="B113" i="33"/>
  <c r="H113" i="33" s="1"/>
  <c r="V111" i="33" s="1"/>
  <c r="B110" i="33"/>
  <c r="H110" i="33" s="1"/>
  <c r="V108" i="33" s="1"/>
  <c r="X108" i="33" l="1"/>
  <c r="E120" i="33"/>
  <c r="C120" i="33" s="1"/>
  <c r="C112" i="33"/>
  <c r="I112" i="33" s="1"/>
  <c r="E121" i="33"/>
  <c r="C121" i="33" s="1"/>
  <c r="C113" i="33"/>
  <c r="I113" i="33" s="1"/>
  <c r="E119" i="33"/>
  <c r="C119" i="33" s="1"/>
  <c r="C111" i="33"/>
  <c r="I111" i="33" s="1"/>
  <c r="J110" i="33"/>
  <c r="L110" i="33" s="1"/>
  <c r="D118" i="33"/>
  <c r="B118" i="33" s="1"/>
  <c r="J111" i="33"/>
  <c r="L111" i="33" s="1"/>
  <c r="D119" i="33"/>
  <c r="B119" i="33" s="1"/>
  <c r="K110" i="33"/>
  <c r="M110" i="33" s="1"/>
  <c r="E118" i="33"/>
  <c r="C118" i="33" s="1"/>
  <c r="J113" i="33"/>
  <c r="D121" i="33"/>
  <c r="B121" i="33" s="1"/>
  <c r="J112" i="33"/>
  <c r="D120" i="33"/>
  <c r="B120" i="33" s="1"/>
  <c r="M111" i="33" l="1"/>
  <c r="W109" i="33"/>
  <c r="X109" i="33" s="1"/>
  <c r="M113" i="33"/>
  <c r="W111" i="33"/>
  <c r="X111" i="33" s="1"/>
  <c r="M112" i="33"/>
  <c r="W110" i="33"/>
  <c r="X110" i="33" s="1"/>
  <c r="L113" i="33"/>
  <c r="L112" i="33"/>
  <c r="E123" i="33"/>
  <c r="C123" i="33" s="1"/>
  <c r="D123" i="33"/>
  <c r="B123" i="33" s="1"/>
  <c r="K118" i="33"/>
  <c r="J119" i="33"/>
  <c r="J120" i="33"/>
  <c r="J121" i="33"/>
  <c r="J114" i="33"/>
  <c r="L114" i="33" s="1"/>
  <c r="J118" i="33"/>
  <c r="J123" i="33" l="1"/>
  <c r="K114" i="33"/>
  <c r="M114" i="33" s="1"/>
  <c r="I118" i="33" l="1"/>
  <c r="W112" i="33" s="1"/>
  <c r="E27" i="37"/>
  <c r="K27" i="37"/>
  <c r="E24" i="42" s="1"/>
  <c r="K123" i="33"/>
  <c r="O122" i="33"/>
  <c r="E31" i="37"/>
  <c r="D27" i="37" l="1"/>
  <c r="H118" i="33"/>
  <c r="V112" i="33" s="1"/>
  <c r="J27" i="37"/>
  <c r="D24" i="42" s="1"/>
  <c r="K30" i="37"/>
  <c r="E27" i="42" s="1"/>
  <c r="E30" i="37"/>
  <c r="I121" i="33"/>
  <c r="W115" i="33" s="1"/>
  <c r="H119" i="33"/>
  <c r="V113" i="33" s="1"/>
  <c r="D28" i="37"/>
  <c r="H120" i="33"/>
  <c r="V114" i="33" s="1"/>
  <c r="D29" i="37"/>
  <c r="I120" i="33"/>
  <c r="W114" i="33" s="1"/>
  <c r="E29" i="37"/>
  <c r="K29" i="37"/>
  <c r="E26" i="42" s="1"/>
  <c r="E28" i="37"/>
  <c r="I119" i="33"/>
  <c r="W113" i="33" s="1"/>
  <c r="K28" i="37"/>
  <c r="E25" i="42" s="1"/>
  <c r="K31" i="37"/>
  <c r="E28" i="42" s="1"/>
  <c r="E34" i="37"/>
  <c r="M118" i="33"/>
  <c r="K34" i="37" s="1"/>
  <c r="E31" i="42" s="1"/>
  <c r="W116" i="33" l="1"/>
  <c r="X114" i="33"/>
  <c r="J29" i="37"/>
  <c r="D26" i="42" s="1"/>
  <c r="J28" i="37"/>
  <c r="D25" i="42" s="1"/>
  <c r="E35" i="37"/>
  <c r="M119" i="33"/>
  <c r="K35" i="37" s="1"/>
  <c r="E32" i="42" s="1"/>
  <c r="M121" i="33"/>
  <c r="K37" i="37" s="1"/>
  <c r="E34" i="42" s="1"/>
  <c r="E37" i="37"/>
  <c r="D35" i="37"/>
  <c r="L119" i="33"/>
  <c r="J35" i="37" s="1"/>
  <c r="D32" i="42" s="1"/>
  <c r="D36" i="37"/>
  <c r="L120" i="33"/>
  <c r="J36" i="37" s="1"/>
  <c r="D33" i="42" s="1"/>
  <c r="M120" i="33"/>
  <c r="K36" i="37" s="1"/>
  <c r="E33" i="42" s="1"/>
  <c r="E36" i="37"/>
  <c r="D34" i="37"/>
  <c r="L118" i="33"/>
  <c r="J34" i="37" s="1"/>
  <c r="D31" i="42" s="1"/>
  <c r="D30" i="37" l="1"/>
  <c r="H121" i="33"/>
  <c r="V115" i="33" s="1"/>
  <c r="J30" i="37"/>
  <c r="D27" i="42" s="1"/>
  <c r="D31" i="37"/>
  <c r="V116" i="33" l="1"/>
  <c r="X115" i="33"/>
  <c r="J31" i="37"/>
  <c r="D28" i="42" s="1"/>
  <c r="D37" i="37"/>
  <c r="L121" i="33"/>
  <c r="J37" i="37" s="1"/>
  <c r="D34" i="42" s="1"/>
  <c r="J42" i="37" l="1"/>
  <c r="AG123" i="33" l="1"/>
  <c r="X112" i="33" l="1"/>
  <c r="X113" i="33" l="1"/>
  <c r="X116" i="33" s="1"/>
  <c r="E42" i="37" l="1"/>
  <c r="D42" i="37" l="1"/>
  <c r="AK124" i="33" l="1"/>
  <c r="AK125" i="33" s="1"/>
  <c r="AE125" i="33"/>
  <c r="H124" i="33" l="1"/>
  <c r="K42" i="37" l="1"/>
  <c r="B90" i="33" l="1"/>
  <c r="H90" i="33" s="1"/>
  <c r="B91" i="33"/>
  <c r="H91" i="33" s="1"/>
  <c r="V91" i="33" s="1"/>
  <c r="C90" i="33"/>
  <c r="I90" i="33" s="1"/>
  <c r="W90" i="33" s="1"/>
  <c r="C91" i="33"/>
  <c r="I91" i="33" s="1"/>
  <c r="W91" i="33" s="1"/>
  <c r="E8" i="37" l="1"/>
  <c r="M91" i="33"/>
  <c r="K9" i="37" s="1"/>
  <c r="E6" i="42" s="1"/>
  <c r="I97" i="33"/>
  <c r="W96" i="33" s="1"/>
  <c r="E9" i="37"/>
  <c r="D8" i="37"/>
  <c r="D9" i="37"/>
  <c r="H97" i="33"/>
  <c r="V96" i="33" s="1"/>
  <c r="L91" i="33"/>
  <c r="J9" i="37" s="1"/>
  <c r="D6" i="42" s="1"/>
  <c r="L90" i="33"/>
  <c r="J8" i="37" s="1"/>
  <c r="D5" i="42" s="1"/>
  <c r="I96" i="33"/>
  <c r="W95" i="33" s="1"/>
  <c r="M90" i="33"/>
  <c r="K8" i="37" s="1"/>
  <c r="E5" i="42" s="1"/>
  <c r="H96" i="33"/>
  <c r="V95" i="33" s="1"/>
  <c r="X95" i="33" l="1"/>
  <c r="W106" i="33"/>
  <c r="W117" i="33" s="1"/>
  <c r="X91" i="33"/>
  <c r="M97" i="33"/>
  <c r="K15" i="37" s="1"/>
  <c r="E12" i="42" s="1"/>
  <c r="E15" i="37"/>
  <c r="X96" i="33"/>
  <c r="L96" i="33"/>
  <c r="J14" i="37" s="1"/>
  <c r="D11" i="42" s="1"/>
  <c r="D14" i="37"/>
  <c r="E14" i="37"/>
  <c r="M96" i="33"/>
  <c r="K14" i="37" s="1"/>
  <c r="E11" i="42" s="1"/>
  <c r="L97" i="33"/>
  <c r="J15" i="37" s="1"/>
  <c r="D12" i="42" s="1"/>
  <c r="D15" i="37"/>
  <c r="V90" i="33" l="1"/>
  <c r="V106" i="33" s="1"/>
  <c r="V117" i="33" s="1"/>
  <c r="X90" i="33" l="1"/>
  <c r="X106" i="33" s="1"/>
  <c r="X117" i="33" s="1"/>
  <c r="G73" i="44" l="1"/>
  <c r="H24" i="55" s="1"/>
  <c r="AE124" i="33"/>
  <c r="AG124" i="33" s="1"/>
  <c r="AG125" i="33" s="1"/>
  <c r="H25" i="55" l="1"/>
  <c r="I24" i="55"/>
  <c r="I25" i="55" s="1"/>
  <c r="G74" i="44"/>
  <c r="E63" i="47" l="1"/>
  <c r="G68" i="47" l="1"/>
  <c r="E70" i="47"/>
  <c r="G63" i="47"/>
  <c r="E65" i="47"/>
  <c r="G65" i="47" s="1"/>
  <c r="J49" i="47"/>
  <c r="J24" i="55"/>
  <c r="J25" i="5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Rachel Rowe</author>
  </authors>
  <commentList>
    <comment ref="J39" authorId="0" shapeId="0" xr:uid="{D3695CA3-EE9F-4B4E-8938-CA0D4E9FEE93}">
      <text>
        <r>
          <rPr>
            <b/>
            <sz val="9"/>
            <color indexed="81"/>
            <rFont val="Tahoma"/>
            <family val="2"/>
          </rPr>
          <t xml:space="preserve">Rachel Rowe:
</t>
        </r>
        <r>
          <rPr>
            <sz val="9"/>
            <color indexed="81"/>
            <rFont val="Tahoma"/>
            <family val="2"/>
          </rPr>
          <t>Emergency rate: $500/hr.; 3-hr min.
Private charter rate: $750/hr.; 3-hr min.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Rachel Rowe</author>
    <author>Carla Sawyer</author>
  </authors>
  <commentList>
    <comment ref="B3" authorId="0" shapeId="0" xr:uid="{0206CF6D-1E82-4885-A50B-4CA1C4520233}">
      <text>
        <r>
          <rPr>
            <b/>
            <sz val="9"/>
            <color indexed="81"/>
            <rFont val="Tahoma"/>
            <family val="2"/>
          </rPr>
          <t>Rachel Rowe:</t>
        </r>
        <r>
          <rPr>
            <sz val="9"/>
            <color indexed="81"/>
            <rFont val="Tahoma"/>
            <family val="2"/>
          </rPr>
          <t xml:space="preserve">
Source: 2025 Ferry Fare Revenue Target Report_093025</t>
        </r>
      </text>
    </comment>
    <comment ref="A18" authorId="1" shapeId="0" xr:uid="{97F2C51E-689F-C240-8A38-0F5E2723F04C}">
      <text>
        <r>
          <rPr>
            <b/>
            <sz val="10"/>
            <color rgb="FF000000"/>
            <rFont val="Tahoma"/>
            <family val="2"/>
          </rPr>
          <t>Carla Sawyer:</t>
        </r>
        <r>
          <rPr>
            <sz val="10"/>
            <color rgb="FF000000"/>
            <rFont val="Tahoma"/>
            <family val="2"/>
          </rPr>
          <t xml:space="preserve">
</t>
        </r>
        <r>
          <rPr>
            <sz val="10"/>
            <color rgb="FF000000"/>
            <rFont val="Tahoma"/>
            <family val="2"/>
          </rPr>
          <t>Drop discount to 10%</t>
        </r>
      </text>
    </comment>
    <comment ref="A25" authorId="1" shapeId="0" xr:uid="{C710C7DA-02B0-D146-8927-8F77F5B2579D}">
      <text>
        <r>
          <rPr>
            <b/>
            <sz val="10"/>
            <color rgb="FF000000"/>
            <rFont val="Tahoma"/>
            <family val="2"/>
          </rPr>
          <t>Carla Sawyer:</t>
        </r>
        <r>
          <rPr>
            <sz val="10"/>
            <color rgb="FF000000"/>
            <rFont val="Tahoma"/>
            <family val="2"/>
          </rPr>
          <t xml:space="preserve">
</t>
        </r>
        <r>
          <rPr>
            <sz val="10"/>
            <color rgb="FF000000"/>
            <rFont val="Tahoma"/>
            <family val="2"/>
          </rPr>
          <t>Drop discount to 10%</t>
        </r>
      </text>
    </comment>
    <comment ref="A29" authorId="0" shapeId="0" xr:uid="{F7C343DC-0CBB-4BB1-9DDE-32A9F5344929}">
      <text>
        <r>
          <rPr>
            <b/>
            <sz val="9"/>
            <color indexed="81"/>
            <rFont val="Tahoma"/>
            <family val="2"/>
          </rPr>
          <t>Rachel Rowe:</t>
        </r>
        <r>
          <rPr>
            <sz val="9"/>
            <color indexed="81"/>
            <rFont val="Tahoma"/>
            <family val="2"/>
          </rPr>
          <t xml:space="preserve">
Went away Aug. 15, 2023</t>
        </r>
      </text>
    </comment>
    <comment ref="D53" authorId="0" shapeId="0" xr:uid="{E15FECD3-BF2E-4A76-A56E-A480DB1E4A89}">
      <text>
        <r>
          <rPr>
            <b/>
            <sz val="9"/>
            <color indexed="81"/>
            <rFont val="Tahoma"/>
            <family val="2"/>
          </rPr>
          <t>Rachel Rowe:</t>
        </r>
        <r>
          <rPr>
            <sz val="9"/>
            <color indexed="81"/>
            <rFont val="Tahoma"/>
            <family val="2"/>
          </rPr>
          <t xml:space="preserve">
See 2024 Sales Tab</t>
        </r>
      </text>
    </comment>
    <comment ref="F53" authorId="0" shapeId="0" xr:uid="{8F9770E6-10F8-43B6-B259-162DB95247D2}">
      <text>
        <r>
          <rPr>
            <b/>
            <sz val="9"/>
            <color indexed="81"/>
            <rFont val="Tahoma"/>
            <family val="2"/>
          </rPr>
          <t>Rachel Rowe:</t>
        </r>
        <r>
          <rPr>
            <sz val="9"/>
            <color indexed="81"/>
            <rFont val="Tahoma"/>
            <family val="2"/>
          </rPr>
          <t xml:space="preserve">
See 2025 Sales Tab</t>
        </r>
      </text>
    </comment>
    <comment ref="A103" authorId="1" shapeId="0" xr:uid="{0FFD4284-0A04-2144-8EBE-1367F8A83463}">
      <text>
        <r>
          <rPr>
            <b/>
            <sz val="10"/>
            <color rgb="FF000000"/>
            <rFont val="Tahoma"/>
            <family val="2"/>
          </rPr>
          <t>Carla Sawyer:</t>
        </r>
        <r>
          <rPr>
            <sz val="10"/>
            <color rgb="FF000000"/>
            <rFont val="Tahoma"/>
            <family val="2"/>
          </rPr>
          <t xml:space="preserve">
</t>
        </r>
        <r>
          <rPr>
            <sz val="10"/>
            <color rgb="FF000000"/>
            <rFont val="Calibri"/>
            <family val="2"/>
          </rPr>
          <t xml:space="preserve">Drop discount to 10%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Rachel Rowe</author>
    <author>Carla Sawyer</author>
  </authors>
  <commentList>
    <comment ref="B7" authorId="0" shapeId="0" xr:uid="{C54C09D6-CFF8-4AB2-A343-34D7AE341971}">
      <text>
        <r>
          <rPr>
            <b/>
            <sz val="9"/>
            <color indexed="81"/>
            <rFont val="Tahoma"/>
            <family val="2"/>
          </rPr>
          <t>Rachel Rowe:</t>
        </r>
        <r>
          <rPr>
            <sz val="9"/>
            <color indexed="81"/>
            <rFont val="Tahoma"/>
            <family val="2"/>
          </rPr>
          <t xml:space="preserve">
Source: FY-24 Budget Monitoring.pdf</t>
        </r>
      </text>
    </comment>
    <comment ref="C7" authorId="1" shapeId="0" xr:uid="{F0CD5BFB-DC33-4D01-A768-3307EE8AD9BD}">
      <text>
        <r>
          <rPr>
            <b/>
            <sz val="10"/>
            <color rgb="FF000000"/>
            <rFont val="Tahoma"/>
            <family val="2"/>
          </rPr>
          <t>Carla Sawyer:</t>
        </r>
        <r>
          <rPr>
            <sz val="10"/>
            <color rgb="FF000000"/>
            <rFont val="Tahoma"/>
            <family val="2"/>
          </rPr>
          <t xml:space="preserve">
Source: FY-25 Budget Monitoring.pdf</t>
        </r>
      </text>
    </comment>
    <comment ref="D7" authorId="1" shapeId="0" xr:uid="{393E7C5E-610B-45F8-B9F1-7EFC6D31C2D8}">
      <text>
        <r>
          <rPr>
            <b/>
            <sz val="10"/>
            <color rgb="FF000000"/>
            <rFont val="Tahoma"/>
            <family val="2"/>
          </rPr>
          <t>Carla Sawyer:</t>
        </r>
        <r>
          <rPr>
            <sz val="10"/>
            <color rgb="FF000000"/>
            <rFont val="Tahoma"/>
            <family val="2"/>
          </rPr>
          <t xml:space="preserve">
Source: Budget Monitoring 6/30/26</t>
        </r>
      </text>
    </comment>
    <comment ref="B42" authorId="0" shapeId="0" xr:uid="{586A29F8-8CAE-43DB-85D5-6C5C4CE6F832}">
      <text>
        <r>
          <rPr>
            <b/>
            <sz val="9"/>
            <color indexed="81"/>
            <rFont val="Tahoma"/>
            <family val="2"/>
          </rPr>
          <t>Rachel Rowe:</t>
        </r>
        <r>
          <rPr>
            <sz val="9"/>
            <color indexed="81"/>
            <rFont val="Tahoma"/>
            <family val="2"/>
          </rPr>
          <t xml:space="preserve">
Based on actual costs for 2025 drydock ($918,634) &amp; 2026 pier side maintenance ($134,519 as of June 30, 2026) for routine maintenance exp.</t>
        </r>
      </text>
    </comment>
    <comment ref="A44" authorId="1" shapeId="0" xr:uid="{19AB45B1-1786-4833-AFB2-D348F01FD4AD}">
      <text>
        <r>
          <rPr>
            <b/>
            <sz val="10"/>
            <color rgb="FF000000"/>
            <rFont val="Tahoma"/>
            <family val="2"/>
          </rPr>
          <t>R.Rowe:</t>
        </r>
        <r>
          <rPr>
            <sz val="10"/>
            <color rgb="FF000000"/>
            <rFont val="Tahoma"/>
            <family val="2"/>
          </rPr>
          <t xml:space="preserve">
2-Year Avg. of 2024 &amp; 2025 Actual </t>
        </r>
      </text>
    </comment>
    <comment ref="B48" authorId="1" shapeId="0" xr:uid="{040C31C6-B4BB-44FC-9803-043413A45023}">
      <text>
        <r>
          <rPr>
            <b/>
            <sz val="10"/>
            <color rgb="FF000000"/>
            <rFont val="Tahoma"/>
            <family val="2"/>
          </rPr>
          <t>R.Rowe:</t>
        </r>
        <r>
          <rPr>
            <sz val="10"/>
            <color rgb="FF000000"/>
            <rFont val="Tahoma"/>
            <family val="2"/>
          </rPr>
          <t xml:space="preserve">
Using 2024 actual non haul-out maintenance expenditures (4810)</t>
        </r>
      </text>
    </comment>
    <comment ref="C48" authorId="1" shapeId="0" xr:uid="{E536C93F-F722-4588-9F9D-A14F1C241D47}">
      <text>
        <r>
          <rPr>
            <b/>
            <sz val="10"/>
            <color rgb="FF000000"/>
            <rFont val="Tahoma"/>
            <family val="2"/>
          </rPr>
          <t>R.Rowe:</t>
        </r>
        <r>
          <rPr>
            <sz val="10"/>
            <color rgb="FF000000"/>
            <rFont val="Tahoma"/>
            <family val="2"/>
          </rPr>
          <t xml:space="preserve">
Using 2025 actual non haul-out maintenance expenditures (4810), less 2025 O&amp;M portion of drydock ($918,634)</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Rachel</author>
    <author>Christine Lyons</author>
  </authors>
  <commentList>
    <comment ref="E7" authorId="0" shapeId="0" xr:uid="{50044C3D-30D5-47D3-A0E6-C38135C188C7}">
      <text>
        <r>
          <rPr>
            <b/>
            <sz val="9"/>
            <color indexed="81"/>
            <rFont val="Tahoma"/>
            <family val="2"/>
          </rPr>
          <t>3120 - Operating Supplies:</t>
        </r>
        <r>
          <rPr>
            <sz val="9"/>
            <color indexed="81"/>
            <rFont val="Tahoma"/>
            <family val="2"/>
          </rPr>
          <t xml:space="preserve">
Office supplies, construction materials &amp; supplies, publications, electrical supplies, paints, lubricants, cleaning supplies, chemicals, filters, etc. </t>
        </r>
      </text>
    </comment>
    <comment ref="E8" authorId="0" shapeId="0" xr:uid="{CC085A6E-C30A-460C-90B4-D187A88882DD}">
      <text>
        <r>
          <rPr>
            <b/>
            <sz val="9"/>
            <color indexed="81"/>
            <rFont val="Tahoma"/>
            <family val="2"/>
          </rPr>
          <t>3200 - Fuel:</t>
        </r>
        <r>
          <rPr>
            <sz val="9"/>
            <color indexed="81"/>
            <rFont val="Tahoma"/>
            <family val="2"/>
          </rPr>
          <t xml:space="preserve">
Diesel fuel for the vessel &amp; standby spill response</t>
        </r>
      </text>
    </comment>
    <comment ref="E9" authorId="0" shapeId="0" xr:uid="{0C136803-AC82-4292-A31F-EA3E344AE18F}">
      <text>
        <r>
          <rPr>
            <b/>
            <sz val="9"/>
            <color indexed="81"/>
            <rFont val="Tahoma"/>
            <family val="2"/>
          </rPr>
          <t>3412 - Interfund Parts &amp; Materials:</t>
        </r>
        <r>
          <rPr>
            <sz val="9"/>
            <color indexed="81"/>
            <rFont val="Tahoma"/>
            <family val="2"/>
          </rPr>
          <t xml:space="preserve">
Parts &amp; materials purchased from ER&amp;R</t>
        </r>
      </text>
    </comment>
    <comment ref="E10" authorId="0" shapeId="0" xr:uid="{F19FA094-FDAA-4327-A829-08BDD01F1445}">
      <text>
        <r>
          <rPr>
            <b/>
            <sz val="9"/>
            <color indexed="81"/>
            <rFont val="Tahoma"/>
            <family val="2"/>
          </rPr>
          <t>3510 - Small Tools &amp; Minor Equipment:</t>
        </r>
        <r>
          <rPr>
            <sz val="9"/>
            <color indexed="81"/>
            <rFont val="Tahoma"/>
            <family val="2"/>
          </rPr>
          <t xml:space="preserve">
Office furniture, tools, shop equipment, wheelhouse electronics &amp; safety supplies </t>
        </r>
      </text>
    </comment>
    <comment ref="E12" authorId="0" shapeId="0" xr:uid="{721FFCE6-204B-4F52-8D1F-50BD8DB1905F}">
      <text>
        <r>
          <rPr>
            <b/>
            <sz val="9"/>
            <color indexed="81"/>
            <rFont val="Tahoma"/>
            <family val="2"/>
          </rPr>
          <t>4110 - Professional Services:</t>
        </r>
        <r>
          <rPr>
            <sz val="9"/>
            <color indexed="81"/>
            <rFont val="Tahoma"/>
            <family val="2"/>
          </rPr>
          <t xml:space="preserve">
Professional services provided by outside consultants</t>
        </r>
      </text>
    </comment>
    <comment ref="E14" authorId="0" shapeId="0" xr:uid="{39EDF31B-948F-4C8A-8FE4-F7A6BD174E3C}">
      <text>
        <r>
          <rPr>
            <b/>
            <sz val="9"/>
            <color indexed="81"/>
            <rFont val="Tahoma"/>
            <family val="2"/>
          </rPr>
          <t>4153 - Intergovernmental Professional Services:</t>
        </r>
        <r>
          <rPr>
            <sz val="9"/>
            <color indexed="81"/>
            <rFont val="Tahoma"/>
            <family val="2"/>
          </rPr>
          <t xml:space="preserve">
Professional services provided by other government agencies</t>
        </r>
      </text>
    </comment>
    <comment ref="E16" authorId="0" shapeId="0" xr:uid="{AE46D576-A731-4DEC-A53C-4350AF3BF68B}">
      <text>
        <r>
          <rPr>
            <b/>
            <sz val="9"/>
            <color indexed="81"/>
            <rFont val="Tahoma"/>
            <family val="2"/>
          </rPr>
          <t>4155 - External Taxes &amp; Ops Assessment:</t>
        </r>
        <r>
          <rPr>
            <sz val="9"/>
            <color indexed="81"/>
            <rFont val="Tahoma"/>
            <family val="2"/>
          </rPr>
          <t xml:space="preserve">
DNR lease and excise taxes</t>
        </r>
      </text>
    </comment>
    <comment ref="E17" authorId="0" shapeId="0" xr:uid="{B324C7E7-2659-486B-9AAC-49BDA2003A05}">
      <text>
        <r>
          <rPr>
            <b/>
            <sz val="9"/>
            <color indexed="81"/>
            <rFont val="Tahoma"/>
            <family val="2"/>
          </rPr>
          <t>4190 - Interfund Information Services:</t>
        </r>
        <r>
          <rPr>
            <sz val="9"/>
            <color indexed="81"/>
            <rFont val="Tahoma"/>
            <family val="2"/>
          </rPr>
          <t xml:space="preserve">
Skagit County IT Department support &amp; equipment</t>
        </r>
      </text>
    </comment>
    <comment ref="E18" authorId="0" shapeId="0" xr:uid="{AAD62B79-3A54-4551-84A2-8D5B3E88428B}">
      <text>
        <r>
          <rPr>
            <b/>
            <sz val="9"/>
            <color indexed="81"/>
            <rFont val="Tahoma"/>
            <family val="2"/>
          </rPr>
          <t>4230 - Communications:</t>
        </r>
        <r>
          <rPr>
            <sz val="9"/>
            <color indexed="81"/>
            <rFont val="Tahoma"/>
            <family val="2"/>
          </rPr>
          <t xml:space="preserve">
Telephones; specifically: terminal land lines, fax line, manager/staff cell phones, iPhones for credit card processing</t>
        </r>
      </text>
    </comment>
    <comment ref="E19" authorId="0" shapeId="0" xr:uid="{A5B20A96-7FA8-4DE6-9E1A-88D3885E7D66}">
      <text>
        <r>
          <rPr>
            <b/>
            <sz val="9"/>
            <color indexed="81"/>
            <rFont val="Tahoma"/>
            <family val="2"/>
          </rPr>
          <t>4310 - Travel:</t>
        </r>
        <r>
          <rPr>
            <sz val="9"/>
            <color indexed="81"/>
            <rFont val="Tahoma"/>
            <family val="2"/>
          </rPr>
          <t xml:space="preserve">
Lodging, mileage, per diem for employee travel/training/haul-out</t>
        </r>
      </text>
    </comment>
    <comment ref="E20" authorId="0" shapeId="0" xr:uid="{6278C4A3-E8AA-4E88-A437-0BE06775C671}">
      <text>
        <r>
          <rPr>
            <b/>
            <sz val="9"/>
            <color indexed="81"/>
            <rFont val="Tahoma"/>
            <family val="2"/>
          </rPr>
          <t>4361 - Meals:</t>
        </r>
        <r>
          <rPr>
            <sz val="9"/>
            <color indexed="81"/>
            <rFont val="Tahoma"/>
            <family val="2"/>
          </rPr>
          <t xml:space="preserve">
Refreshments for public meetings</t>
        </r>
      </text>
    </comment>
    <comment ref="E21" authorId="0" shapeId="0" xr:uid="{7C2F197F-C4E4-4E3F-8C48-D7B843F75668}">
      <text>
        <r>
          <rPr>
            <b/>
            <sz val="9"/>
            <color indexed="81"/>
            <rFont val="Tahoma"/>
            <family val="2"/>
          </rPr>
          <t>4410 - Advertising:</t>
        </r>
        <r>
          <rPr>
            <sz val="9"/>
            <color indexed="81"/>
            <rFont val="Tahoma"/>
            <family val="2"/>
          </rPr>
          <t xml:space="preserve">
Legal notices for projects or advertising for hiring</t>
        </r>
      </text>
    </comment>
    <comment ref="E22" authorId="0" shapeId="0" xr:uid="{DE1A480F-5A18-4AB6-B9C0-331136D85C38}">
      <text>
        <r>
          <rPr>
            <b/>
            <sz val="9"/>
            <color indexed="81"/>
            <rFont val="Tahoma"/>
            <family val="2"/>
          </rPr>
          <t>4510 - Rentals:</t>
        </r>
        <r>
          <rPr>
            <sz val="9"/>
            <color indexed="81"/>
            <rFont val="Tahoma"/>
            <family val="2"/>
          </rPr>
          <t xml:space="preserve">
Passenger-only service &amp; other rentals</t>
        </r>
      </text>
    </comment>
    <comment ref="E23" authorId="0" shapeId="0" xr:uid="{657A9F44-CEC8-4709-9737-47C16951640C}">
      <text>
        <r>
          <rPr>
            <b/>
            <sz val="9"/>
            <color indexed="81"/>
            <rFont val="Tahoma"/>
            <family val="2"/>
          </rPr>
          <t>4511 - Interfund Equipment Rental:</t>
        </r>
        <r>
          <rPr>
            <sz val="9"/>
            <color indexed="81"/>
            <rFont val="Tahoma"/>
            <family val="2"/>
          </rPr>
          <t xml:space="preserve">
Vehicle &amp; equipment rentals</t>
        </r>
      </text>
    </comment>
    <comment ref="E25" authorId="0" shapeId="0" xr:uid="{7BAF1630-AAB2-4DB2-9099-54723846ACF1}">
      <text>
        <r>
          <rPr>
            <b/>
            <sz val="9"/>
            <color indexed="81"/>
            <rFont val="Tahoma"/>
            <family val="2"/>
          </rPr>
          <t>4700 - Utilities:</t>
        </r>
        <r>
          <rPr>
            <sz val="9"/>
            <color indexed="81"/>
            <rFont val="Tahoma"/>
            <family val="2"/>
          </rPr>
          <t xml:space="preserve">
Water, sewer, garbage, electricity for Anacortes ferry terminal building, docks &amp; facilities</t>
        </r>
      </text>
    </comment>
    <comment ref="E26" authorId="0" shapeId="0" xr:uid="{D7D1143B-BF78-4ED6-83A4-60DC3BA09A00}">
      <text>
        <r>
          <rPr>
            <b/>
            <sz val="9"/>
            <color indexed="81"/>
            <rFont val="Tahoma"/>
            <family val="2"/>
          </rPr>
          <t>4810 - Repairs &amp; Maintenance:</t>
        </r>
        <r>
          <rPr>
            <sz val="9"/>
            <color indexed="81"/>
            <rFont val="Tahoma"/>
            <family val="2"/>
          </rPr>
          <t xml:space="preserve">
Contracted labor for the repair &amp; maintenance of the vessel, buildings, structures &amp; equipment</t>
        </r>
      </text>
    </comment>
    <comment ref="E27" authorId="0" shapeId="0" xr:uid="{E4798CC4-E04F-4627-9342-28836A7A321F}">
      <text>
        <r>
          <rPr>
            <b/>
            <sz val="9"/>
            <color indexed="81"/>
            <rFont val="Tahoma"/>
            <family val="2"/>
          </rPr>
          <t>4811 - Interfund Shop Labor:</t>
        </r>
        <r>
          <rPr>
            <sz val="9"/>
            <color indexed="81"/>
            <rFont val="Tahoma"/>
            <family val="2"/>
          </rPr>
          <t xml:space="preserve">
ER&amp;R shop mechanic's labor for vessel &amp; equipment repairs &amp; maintenance</t>
        </r>
      </text>
    </comment>
    <comment ref="E28" authorId="0" shapeId="0" xr:uid="{9CEE13B4-6026-4D08-A855-D9801ADADFCE}">
      <text>
        <r>
          <rPr>
            <b/>
            <sz val="9"/>
            <color indexed="81"/>
            <rFont val="Tahoma"/>
            <family val="2"/>
          </rPr>
          <t>4910 - Miscellaneous:</t>
        </r>
        <r>
          <rPr>
            <sz val="9"/>
            <color indexed="81"/>
            <rFont val="Tahoma"/>
            <family val="2"/>
          </rPr>
          <t xml:space="preserve">
Services &amp; supplies for ticketing, uniforms, armored car services, pest control, printing &amp; mailing, laundry, locksmith, conference/training registration fees, USCG documentation fees, association membership fees, merchant services fees, credit card transaction fees, etc.</t>
        </r>
      </text>
    </comment>
    <comment ref="E31" authorId="1" shapeId="0" xr:uid="{20824E6D-03AB-4567-8A88-83FEEB0D4312}">
      <text>
        <r>
          <rPr>
            <b/>
            <sz val="9"/>
            <color indexed="81"/>
            <rFont val="Tahoma"/>
            <family val="2"/>
          </rPr>
          <t>6310 - Other Improvements:</t>
        </r>
        <r>
          <rPr>
            <sz val="9"/>
            <color indexed="81"/>
            <rFont val="Tahoma"/>
            <family val="2"/>
          </rPr>
          <t xml:space="preserve"> Costs incurred in the acquisition, construction or improvement of Bridges, Culverts, Water/Sewer Systems, Fuel Depots, Parking Areas, Roadways, Storm Drains, Lighting Systems, Sidewalks etc. that are purchased by the County or constructed using contracted (external) labor and supplies. Includes incidental costs of same.
</t>
        </r>
      </text>
    </comment>
    <comment ref="E32" authorId="1" shapeId="0" xr:uid="{E226AA9B-B582-47DE-8429-203381A58C80}">
      <text>
        <r>
          <rPr>
            <b/>
            <sz val="9"/>
            <color indexed="81"/>
            <rFont val="Tahoma"/>
            <family val="2"/>
          </rPr>
          <t>6411 - Equipment &gt; $5,000:</t>
        </r>
        <r>
          <rPr>
            <sz val="9"/>
            <color indexed="81"/>
            <rFont val="Tahoma"/>
            <family val="2"/>
          </rPr>
          <t xml:space="preserve"> Purchase of Ferry Machinery and Equipment over $5,000 including shipping, tax, and any other costs to place equipment in service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Rachel Rowe</author>
  </authors>
  <commentList>
    <comment ref="F2" authorId="0" shapeId="0" xr:uid="{328F38B0-1CE5-4CAF-B86C-26C6CA05D6C4}">
      <text>
        <r>
          <rPr>
            <b/>
            <sz val="9"/>
            <color indexed="81"/>
            <rFont val="Tahoma"/>
            <family val="2"/>
          </rPr>
          <t>Rachel Rowe:</t>
        </r>
        <r>
          <rPr>
            <sz val="9"/>
            <color indexed="81"/>
            <rFont val="Tahoma"/>
            <family val="2"/>
          </rPr>
          <t xml:space="preserve">
New position starting June 17, 2024</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Rachel Rowe</author>
  </authors>
  <commentList>
    <comment ref="F2" authorId="0" shapeId="0" xr:uid="{923F997C-7065-4337-A569-F6580265DDCC}">
      <text>
        <r>
          <rPr>
            <b/>
            <sz val="9"/>
            <color indexed="81"/>
            <rFont val="Tahoma"/>
            <family val="2"/>
          </rPr>
          <t>Rachel Rowe:</t>
        </r>
        <r>
          <rPr>
            <sz val="9"/>
            <color indexed="81"/>
            <rFont val="Tahoma"/>
            <family val="2"/>
          </rPr>
          <t xml:space="preserve">
New position starting June 17, 2024</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Rachel Rowe</author>
  </authors>
  <commentList>
    <comment ref="F2" authorId="0" shapeId="0" xr:uid="{0C11EBF5-3538-4938-B855-A3536C589FF6}">
      <text>
        <r>
          <rPr>
            <b/>
            <sz val="9"/>
            <color indexed="81"/>
            <rFont val="Tahoma"/>
            <family val="2"/>
          </rPr>
          <t>Rachel Rowe:</t>
        </r>
        <r>
          <rPr>
            <sz val="9"/>
            <color indexed="81"/>
            <rFont val="Tahoma"/>
            <family val="2"/>
          </rPr>
          <t xml:space="preserve">
New position starting June 17, 2024</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Rachel Rowe</author>
  </authors>
  <commentList>
    <comment ref="F2" authorId="0" shapeId="0" xr:uid="{5E9BB390-3936-4E5D-BAA7-BAD788846DCA}">
      <text>
        <r>
          <rPr>
            <b/>
            <sz val="9"/>
            <color indexed="81"/>
            <rFont val="Tahoma"/>
            <family val="2"/>
          </rPr>
          <t>Rachel Rowe:</t>
        </r>
        <r>
          <rPr>
            <sz val="9"/>
            <color indexed="81"/>
            <rFont val="Tahoma"/>
            <family val="2"/>
          </rPr>
          <t xml:space="preserve">
New position starting June 17, 2024</t>
        </r>
      </text>
    </comment>
  </commentList>
</comments>
</file>

<file path=xl/sharedStrings.xml><?xml version="1.0" encoding="utf-8"?>
<sst xmlns="http://schemas.openxmlformats.org/spreadsheetml/2006/main" count="816" uniqueCount="491">
  <si>
    <t>Passengers</t>
  </si>
  <si>
    <t>Adult</t>
  </si>
  <si>
    <t>Senior/Disabled/Youth</t>
  </si>
  <si>
    <t>Under 5</t>
  </si>
  <si>
    <t>25 trip adult passengers</t>
  </si>
  <si>
    <t>25 trip senior/disabled/youth</t>
  </si>
  <si>
    <t>Vehicles</t>
  </si>
  <si>
    <t>Motorcycle &amp; rider</t>
  </si>
  <si>
    <t>Vehicle/driver under 20 feet</t>
  </si>
  <si>
    <t>Vehicle/driver senior/disabled under 20 feet</t>
  </si>
  <si>
    <t>20 trip under 20</t>
  </si>
  <si>
    <t>20 trip senior/disabled</t>
  </si>
  <si>
    <t xml:space="preserve">Vehicle convenience </t>
  </si>
  <si>
    <t>Peak 10 trip vehicle</t>
  </si>
  <si>
    <t>Peak 10 trip vehicle senior/disabled</t>
  </si>
  <si>
    <t>Non-peak 10 trip vehicle</t>
  </si>
  <si>
    <t>Non-peak 10 trip vehicle senior/disabled</t>
  </si>
  <si>
    <t>Oversized Vehicles</t>
  </si>
  <si>
    <t>Over 20 feet less than 25 feet</t>
  </si>
  <si>
    <t>25 feet to less than 30 feet</t>
  </si>
  <si>
    <t>30 feet to less than 35 feet</t>
  </si>
  <si>
    <t>35 feet to less than 40 feet</t>
  </si>
  <si>
    <t>40 feet to less than 45 feet</t>
  </si>
  <si>
    <t>45 feet to less than 50 feet</t>
  </si>
  <si>
    <t>50 feet to less than 55 feet</t>
  </si>
  <si>
    <t>55 feet to less than 60 feet</t>
  </si>
  <si>
    <t>60 feet to less than 65 feet</t>
  </si>
  <si>
    <t>Each 5 feet over 65</t>
  </si>
  <si>
    <t>Over width charge</t>
  </si>
  <si>
    <t>Miscellaneous</t>
  </si>
  <si>
    <t>Stacked logging truck</t>
  </si>
  <si>
    <t>Extended run</t>
  </si>
  <si>
    <t>Guemes special</t>
  </si>
  <si>
    <t>Charter rate</t>
  </si>
  <si>
    <t>Peak</t>
  </si>
  <si>
    <t>Non Peak</t>
  </si>
  <si>
    <t>Current Fares</t>
  </si>
  <si>
    <t xml:space="preserve"> Without Surcharge</t>
  </si>
  <si>
    <t>Surcharge</t>
  </si>
  <si>
    <t>Proposed Fares</t>
  </si>
  <si>
    <t>Proposed Fares with $ Rounding</t>
  </si>
  <si>
    <t xml:space="preserve">10 Trip  needs-based passenger/senior/disabled </t>
  </si>
  <si>
    <t>Vehicle/driver 14 feet or under</t>
  </si>
  <si>
    <t>Vehicle/driver under 22 feet</t>
  </si>
  <si>
    <t>Vehicles &amp; driver muti-ride</t>
  </si>
  <si>
    <t>Vehicles &amp; driver multi-ride</t>
  </si>
  <si>
    <t>20 trip under 14 feet</t>
  </si>
  <si>
    <t>20 trip under 22 feet</t>
  </si>
  <si>
    <t>Over 22 feet under 30 feet</t>
  </si>
  <si>
    <t>Under 40 feet</t>
  </si>
  <si>
    <t>Under 50 feet</t>
  </si>
  <si>
    <t>Under 60 feet</t>
  </si>
  <si>
    <t>Each 10 foot over 60</t>
  </si>
  <si>
    <t>Over height (7' 6")</t>
  </si>
  <si>
    <t>Charter/Extra Trip Rate</t>
  </si>
  <si>
    <t>$ per hour</t>
  </si>
  <si>
    <t>Total</t>
  </si>
  <si>
    <t>Projected</t>
  </si>
  <si>
    <t>Passenger Multi Ride Card</t>
  </si>
  <si>
    <t>Vehicle/driver senior/disabled under 22 feet</t>
  </si>
  <si>
    <t xml:space="preserve"> 10 trip convenience vehicle senior/disabled/needs</t>
  </si>
  <si>
    <t>20 trip under 22 feet senior/disabled</t>
  </si>
  <si>
    <t>Proposed Fare Schedule</t>
  </si>
  <si>
    <t xml:space="preserve">O&amp;M  Fare </t>
  </si>
  <si>
    <t xml:space="preserve">Posted Fare </t>
  </si>
  <si>
    <t>O&amp;M  Revenue  Seasonal Fares</t>
  </si>
  <si>
    <t>Total Revenue</t>
  </si>
  <si>
    <t>Rider &amp; Bicycle</t>
  </si>
  <si>
    <r>
      <t>Oversized Vehicles  5</t>
    </r>
    <r>
      <rPr>
        <sz val="12"/>
        <color rgb="FFFF0000"/>
        <rFont val="Arial Narrow"/>
        <family val="2"/>
      </rPr>
      <t xml:space="preserve"> </t>
    </r>
    <r>
      <rPr>
        <sz val="12"/>
        <color theme="0"/>
        <rFont val="Arial Narrow"/>
        <family val="2"/>
      </rPr>
      <t>Trip Convenience Card</t>
    </r>
  </si>
  <si>
    <t>Free</t>
  </si>
  <si>
    <t>O&amp;M</t>
  </si>
  <si>
    <t>20 trip under 14 feet senior disabled</t>
  </si>
  <si>
    <t>Double Length Charge</t>
  </si>
  <si>
    <t>Posted</t>
  </si>
  <si>
    <t>stopped here with rounding</t>
  </si>
  <si>
    <t>Oversized</t>
  </si>
  <si>
    <t>Total Revenue Required</t>
  </si>
  <si>
    <t>All Other Required</t>
  </si>
  <si>
    <t>Passengers &amp; Regular Sized Vehicle</t>
  </si>
  <si>
    <t>Fare Type</t>
  </si>
  <si>
    <t xml:space="preserve"> 5 trip  vehicle senior/disabled/needs</t>
  </si>
  <si>
    <t>NON PEAK</t>
  </si>
  <si>
    <t>PEAK</t>
  </si>
  <si>
    <t>Senior (+65)/Disabled</t>
  </si>
  <si>
    <t>Youth - 18 and under</t>
  </si>
  <si>
    <t>Riders &amp; Bicycle senior/disabled</t>
  </si>
  <si>
    <t>25 trip senior/disabled</t>
  </si>
  <si>
    <t>VEHICLE (22 FT OR LESS INLCUDING OVERHANG)</t>
  </si>
  <si>
    <t>VEHICLE NEEDS BASED</t>
  </si>
  <si>
    <t xml:space="preserve"> 5 trip needs based </t>
  </si>
  <si>
    <t>OVERSIZED VEHICLES</t>
  </si>
  <si>
    <t>Over width charge (over 8 feet 6 inches)</t>
  </si>
  <si>
    <t>OVERSIZED VEHICLES 5 TRIP CONVENIENCE CARD</t>
  </si>
  <si>
    <t>MISCELLANEOUS</t>
  </si>
  <si>
    <t>POSTED FARE</t>
  </si>
  <si>
    <t>Base Year Expenditures</t>
  </si>
  <si>
    <t>Actual</t>
  </si>
  <si>
    <t>Without haul out &amp; maintenance expenditures</t>
  </si>
  <si>
    <t>Plus annualized haul out &amp; maintenance</t>
  </si>
  <si>
    <t xml:space="preserve">Annualized Base Year Maintenance </t>
  </si>
  <si>
    <t>Seattle CPI</t>
  </si>
  <si>
    <t>Adjusted Budget</t>
  </si>
  <si>
    <t>Five Year Average</t>
  </si>
  <si>
    <t>Year</t>
  </si>
  <si>
    <t>O&amp;M Expenditures</t>
  </si>
  <si>
    <t xml:space="preserve">Fare Box Recovery </t>
  </si>
  <si>
    <t>Average</t>
  </si>
  <si>
    <t>Youth 18 &amp; Under</t>
  </si>
  <si>
    <t xml:space="preserve">Posted </t>
  </si>
  <si>
    <t xml:space="preserve">5 Trip needs-based passenger/senior/disabled </t>
  </si>
  <si>
    <t>Senior/Disabled</t>
  </si>
  <si>
    <t>Riders &amp; Bicycle senior/disabled/youth</t>
  </si>
  <si>
    <t>RR Note: This table is not used for 2025</t>
  </si>
  <si>
    <t>Marie, this entire table is no longer needed. The table below with current/proposed is used - 7.26.24.</t>
  </si>
  <si>
    <t>PASSENGER</t>
  </si>
  <si>
    <r>
      <t xml:space="preserve">PASSENGER MULTI RIDE </t>
    </r>
    <r>
      <rPr>
        <vertAlign val="superscript"/>
        <sz val="12"/>
        <color theme="0"/>
        <rFont val="Arial Narrow"/>
        <family val="2"/>
      </rPr>
      <t xml:space="preserve">(1) </t>
    </r>
  </si>
  <si>
    <r>
      <t xml:space="preserve">VEHICLE &amp; DRIVER MULTI-RIDE </t>
    </r>
    <r>
      <rPr>
        <vertAlign val="superscript"/>
        <sz val="12"/>
        <color theme="0"/>
        <rFont val="Arial Narrow"/>
        <family val="2"/>
      </rPr>
      <t>(1)</t>
    </r>
  </si>
  <si>
    <t>HAZMAT Run; cost per run; plus 35% market rate profit margin referencing RCW 47.60.135</t>
  </si>
  <si>
    <t>Operating Hours Extra Run; cost per run; if vessel &amp; crew is available; advanced reservations required</t>
  </si>
  <si>
    <t>After-Hours Charter; if available (after-hours service is not guaranteed; cost per hour (3 hr. maximum)</t>
  </si>
  <si>
    <t>https://www.seattle.gov/economic-and-revenue-forecasts/inflation</t>
  </si>
  <si>
    <t>5-Trip Over 22 feet under 30 feet</t>
  </si>
  <si>
    <t>5-Trip Under 40 feet</t>
  </si>
  <si>
    <t>5-Trip Under 50 feet</t>
  </si>
  <si>
    <t>5-Trip Under 60 feet</t>
  </si>
  <si>
    <t>Sub-Total</t>
  </si>
  <si>
    <t>Haul-Out &amp; Maintenance Expenditures</t>
  </si>
  <si>
    <t>Annualized repair, maintenance &amp; haul out</t>
  </si>
  <si>
    <t xml:space="preserve">Annualized Drydock </t>
  </si>
  <si>
    <r>
      <t xml:space="preserve">Average Non-Drydock Maintenance/Repair </t>
    </r>
    <r>
      <rPr>
        <vertAlign val="superscript"/>
        <sz val="12"/>
        <color rgb="FF000000"/>
        <rFont val="Arial Narrow"/>
        <family val="2"/>
      </rPr>
      <t>(1)</t>
    </r>
  </si>
  <si>
    <t>Maintenance expenditures other than drydock</t>
  </si>
  <si>
    <t>Annualized Drydock &amp; Non-drydock maintenance/repairs</t>
  </si>
  <si>
    <t>for Vessel Replacement</t>
  </si>
  <si>
    <t>O&amp;M Fares Do Not Include Surcharge</t>
  </si>
  <si>
    <t>Posted Fares Include Surcharge</t>
  </si>
  <si>
    <t>PASSENGER (1)</t>
  </si>
  <si>
    <t xml:space="preserve">PASSENGER CONVENIENCE PASS (2) </t>
  </si>
  <si>
    <t>VEHICLE &amp; DRIVER (1)</t>
  </si>
  <si>
    <t>VEHICLE &amp; DRIVER CONVENIENCE PASS (2)</t>
  </si>
  <si>
    <t>OVERSIZED VEHICLE &amp; DRIVER (1)</t>
  </si>
  <si>
    <t xml:space="preserve">OVERSIZED VEHICLE &amp; DRIVER CONVENIENCE PASS (2) </t>
  </si>
  <si>
    <t>VEHICLE &amp; SENIOR/DISABLED NEEDS-BASED PASS (2)</t>
  </si>
  <si>
    <t>2027 PROPOSED RATE SCHEDULE</t>
  </si>
  <si>
    <t>2026 Current and 2027 Proposed Fares</t>
  </si>
  <si>
    <t>2026 Current</t>
  </si>
  <si>
    <t>2027 Proposed</t>
  </si>
  <si>
    <t>5-Trip Under 30</t>
  </si>
  <si>
    <t>5-Trip Under 40</t>
  </si>
  <si>
    <t>5-Trip Under 50</t>
  </si>
  <si>
    <t>5-Trip Under 60</t>
  </si>
  <si>
    <t xml:space="preserve">5-Trip  needs-based passenger/senior/disabled </t>
  </si>
  <si>
    <t>2024 Actual Sales</t>
  </si>
  <si>
    <t>2025 Actual Sales</t>
  </si>
  <si>
    <t>Difference (2024/2025)</t>
  </si>
  <si>
    <t>FERRY TICKET SALES 2025</t>
  </si>
  <si>
    <t>JAN</t>
  </si>
  <si>
    <t>FEB</t>
  </si>
  <si>
    <t>MAR</t>
  </si>
  <si>
    <t>APR</t>
  </si>
  <si>
    <t>MAY</t>
  </si>
  <si>
    <t>JUN</t>
  </si>
  <si>
    <t>JUL</t>
  </si>
  <si>
    <t>AUG</t>
  </si>
  <si>
    <t>SEPT</t>
  </si>
  <si>
    <t>OCT</t>
  </si>
  <si>
    <t>NOV</t>
  </si>
  <si>
    <t>DEC</t>
  </si>
  <si>
    <t>TOTAL</t>
  </si>
  <si>
    <t>ADULT PASSENGER - PEAK</t>
  </si>
  <si>
    <t>ADULT PASSENGER - NONPEAK</t>
  </si>
  <si>
    <t>S/D/Y PASSENGER - PEAK</t>
  </si>
  <si>
    <t>S/D/Y PASSENGER - NONPEAK</t>
  </si>
  <si>
    <t>ADULT BICYCLE - PEAK</t>
  </si>
  <si>
    <t>ADULT BICYCLE - NONPEAK</t>
  </si>
  <si>
    <t>S/D/Y BICYCLE - PEAK</t>
  </si>
  <si>
    <t>S/D/Y BICYCLE - NONPEAK</t>
  </si>
  <si>
    <t>25-TRIP ADULT PASSENGER - PEAK</t>
  </si>
  <si>
    <t>25-TRIP ADULT PASSENGER - NONPEAK</t>
  </si>
  <si>
    <t>25-TRIP SENIOR/DISABLED PASSENGER PEAK</t>
  </si>
  <si>
    <t>25-TRIP SENIOR/DISABLED PASSENGER NONPEAK</t>
  </si>
  <si>
    <t>MOTORCYCLE - PEAK</t>
  </si>
  <si>
    <t>MOTORCYCLE - NONPEAK</t>
  </si>
  <si>
    <t>VEHICLE &amp; DRIVER - PEAK</t>
  </si>
  <si>
    <t>VEHICLE &amp; DRIVER - NONPEAK</t>
  </si>
  <si>
    <t>SENIOR/DISABLED DRIVER &amp; CAR - PEAK</t>
  </si>
  <si>
    <t>SENIOR/DISABLED DRIVER &amp; CAR - NONPEAK</t>
  </si>
  <si>
    <t>20 TRIP DRIVER &amp; CAR</t>
  </si>
  <si>
    <t>20 TRIP SENIOR DRIVER &amp; CAR</t>
  </si>
  <si>
    <t>20 TRIP MOTORCYCLE</t>
  </si>
  <si>
    <t>5 TRIP SENIOR/DISABLED DRIVER &amp; CAR - NEEDS BASED</t>
  </si>
  <si>
    <t>TRUCKS &lt; 30 - PEAK</t>
  </si>
  <si>
    <t>TRUCKS &lt; 30 - NONPEAK</t>
  </si>
  <si>
    <t>TRUCKS &lt; 40 - PEAK</t>
  </si>
  <si>
    <t>TRUCKS &lt; 40 - NONPEAK</t>
  </si>
  <si>
    <t>TRUCKS &lt; 50 - PEAK</t>
  </si>
  <si>
    <t>TRUCKS &lt; 50 - NONPEAK</t>
  </si>
  <si>
    <t>TRUCKS &lt; 60 - PEAK</t>
  </si>
  <si>
    <t>TRUCKS &lt; 60 - NONPEAK</t>
  </si>
  <si>
    <t xml:space="preserve">EACH 10' OVER 60' </t>
  </si>
  <si>
    <t>5 TRIP DRIVER &amp; VEHICLE &lt; 30 - PEAK</t>
  </si>
  <si>
    <t>5 TRIP DRIVER &amp; VEHICLE &lt; 30 - NONPEAK</t>
  </si>
  <si>
    <t>5 TRIP DRIVER &amp; VEHICLE &lt; 40 - PEAK</t>
  </si>
  <si>
    <t>5 TRIP DRIVER &amp; VEHICLE &lt; 40 - NONPEAK</t>
  </si>
  <si>
    <t>5 TRIP DRIVER &amp; VEHICLE &lt; 50 - PEAK</t>
  </si>
  <si>
    <t>5 TRIP DRIVER &amp; VEHICLE &lt; 50 - NONPEAK</t>
  </si>
  <si>
    <t>5 TRIP DRIVER &amp; VEHICLE &lt; 60 - PEAK</t>
  </si>
  <si>
    <t>5 TRIP DRIVER &amp; VEHICLE &lt; 60 - NONPEAK</t>
  </si>
  <si>
    <t>Totals</t>
  </si>
  <si>
    <t>FERRY TICKET SALES 2024</t>
  </si>
  <si>
    <t>5 TRIP DRIVER &amp; VEHICLE &lt; 30 - SUMMER</t>
  </si>
  <si>
    <t>5 TRIP DRIVER &amp; VEHICLE &lt; 30 - WINTER</t>
  </si>
  <si>
    <t>5 TRIP DRIVER &amp; VEHICLE &lt; 40 - SUMMER</t>
  </si>
  <si>
    <t>5 TRIP DRIVER &amp; VEHICLE &lt; 40 - WINTER</t>
  </si>
  <si>
    <t>5 TRIP DRIVER &amp; VEHICLE &lt; 50 - SUMMER</t>
  </si>
  <si>
    <t>5 TRIP DRIVER &amp; VEHICLE &lt; 50 - WINTER</t>
  </si>
  <si>
    <t>5 TRIP DRIVER &amp; VEHICLE &lt; 60 - SUMMER</t>
  </si>
  <si>
    <t>5 TRIP DRIVER &amp; VEHICLE &lt; 60 - WINTER</t>
  </si>
  <si>
    <t>ADULT BICYCLE - SUMMER</t>
  </si>
  <si>
    <t>ADULT BICYCLE - WINTER</t>
  </si>
  <si>
    <t>25 ADULT COMMUTER</t>
  </si>
  <si>
    <t>ADULT PASSENGER - SUMMER</t>
  </si>
  <si>
    <t>ADULT PASSENGER - WINTER</t>
  </si>
  <si>
    <t>DRIVER &amp; CAR - SUMMER</t>
  </si>
  <si>
    <t>DRIVER &amp; CAR - WINTER</t>
  </si>
  <si>
    <t>MISC</t>
  </si>
  <si>
    <t>MOTORCYCLE - SUMMER</t>
  </si>
  <si>
    <t>MOTORCYCLE - WINTER</t>
  </si>
  <si>
    <t>OVERAGE</t>
  </si>
  <si>
    <t>SENIOR/DISABLED DRIVER &amp; CAR - SUMMER</t>
  </si>
  <si>
    <t>SENIOR/DISABLED DRIVER &amp; CAR - WINTER</t>
  </si>
  <si>
    <t>S/D/Y PASSENGER - SUMMER</t>
  </si>
  <si>
    <t>S/D/Y PASSENGER - WINTER</t>
  </si>
  <si>
    <t>25 STUDENT/SENIOR COMMUTER</t>
  </si>
  <si>
    <t>S/D/Y BICYCLE - SUMMER</t>
  </si>
  <si>
    <t>S/D/Y BICYCLE - WINTER</t>
  </si>
  <si>
    <t>TRUCKS &lt; 30 - SUMMER</t>
  </si>
  <si>
    <t>TRUCKS &lt; 30 - WINTER</t>
  </si>
  <si>
    <t>TRUCKS &lt; 40 - SUMMER</t>
  </si>
  <si>
    <t>TRUCKS &lt; 40 - WINTER</t>
  </si>
  <si>
    <t>TRUCKS &lt; 50 - SUMMER</t>
  </si>
  <si>
    <t>TRUCKS &lt; 50 - WINTER</t>
  </si>
  <si>
    <t>TRUCKS &lt; 60 - SUMMER</t>
  </si>
  <si>
    <t>TRUCKS &lt; 60 - WINTER</t>
  </si>
  <si>
    <t>TRIPS</t>
  </si>
  <si>
    <t>YOUTH 18 &amp; UNDER PASSENGER</t>
  </si>
  <si>
    <t># OF C&amp;D FREQ USER PASS USERS</t>
  </si>
  <si>
    <t># OF PASSENGER FREQ USER PASSES</t>
  </si>
  <si>
    <t># OF VEHICLES</t>
  </si>
  <si>
    <t># OF PASSENGERS</t>
  </si>
  <si>
    <t># OF TICKETS SOLD</t>
  </si>
  <si>
    <t># OF PASSENGERS/WALK ON</t>
  </si>
  <si>
    <t># OF C&amp;D TICKETS</t>
  </si>
  <si>
    <t># OF MOTORCYCLE TICKETS</t>
  </si>
  <si>
    <t># OF OVERSIZE VEHICLE TICKETS</t>
  </si>
  <si>
    <t># OF BICYCLE TICKETS</t>
  </si>
  <si>
    <t>Current Fare Level 2026</t>
  </si>
  <si>
    <t>2027 Ferry Fare Revenue Target</t>
  </si>
  <si>
    <t>Obj. 510 - Salaries &amp; Wages</t>
  </si>
  <si>
    <t>Obj. 520 - Personnel Benefits</t>
  </si>
  <si>
    <t>Obj. 530 - Supplies &amp; Consumables</t>
  </si>
  <si>
    <t xml:space="preserve">Obj. 540 - Services &amp; Pass-throughs </t>
  </si>
  <si>
    <t>4110 - Professional Services</t>
  </si>
  <si>
    <t>4128 - Professional Services (Other)</t>
  </si>
  <si>
    <t>4154 - Interfund Payment for Svc.</t>
  </si>
  <si>
    <t>4155 - External Taxes, Ops &amp; Assessment</t>
  </si>
  <si>
    <t>3120 - Operating Supplies</t>
  </si>
  <si>
    <t>3200 - Fuel</t>
  </si>
  <si>
    <t>3412 - Interfund Parts &amp; Materials</t>
  </si>
  <si>
    <t>3510 - Small Tools &amp; Minor Equipment</t>
  </si>
  <si>
    <t>4190 - Interfund Information Svc.</t>
  </si>
  <si>
    <t>4230 - Communications</t>
  </si>
  <si>
    <t>4310 - Travel</t>
  </si>
  <si>
    <t>4361 - Meals</t>
  </si>
  <si>
    <t>4410 - Advertising</t>
  </si>
  <si>
    <t>4610 - Insurance</t>
  </si>
  <si>
    <t>4700 - Utilities</t>
  </si>
  <si>
    <t xml:space="preserve">4810 - Repairs &amp; Maint. </t>
  </si>
  <si>
    <t>4811 - Interfund Shop Labor</t>
  </si>
  <si>
    <t>4910 - Miscellaneous</t>
  </si>
  <si>
    <t>4510 - Rentals</t>
  </si>
  <si>
    <t>4511 - Interfund Equip. Rental</t>
  </si>
  <si>
    <t>Actual (2 years)</t>
  </si>
  <si>
    <t xml:space="preserve">Current Year (adopted budget as of 6/30)
</t>
  </si>
  <si>
    <t>Projected (2 Years)</t>
  </si>
  <si>
    <t>2027/2028 Planned Drydock (Total for 2 years)</t>
  </si>
  <si>
    <r>
      <t>(1)</t>
    </r>
    <r>
      <rPr>
        <sz val="11"/>
        <color rgb="FF000000"/>
        <rFont val="Arial Narrow"/>
        <family val="2"/>
      </rPr>
      <t xml:space="preserve"> Annualized Non-Drydock Maintenance/Repair</t>
    </r>
    <r>
      <rPr>
        <vertAlign val="superscript"/>
        <sz val="11"/>
        <color rgb="FF000000"/>
        <rFont val="Arial Narrow"/>
        <family val="2"/>
      </rPr>
      <t xml:space="preserve"> </t>
    </r>
  </si>
  <si>
    <t>2027/2028 Est.</t>
  </si>
  <si>
    <t>2026 Adjusted</t>
  </si>
  <si>
    <t>2027 Overall Fare Revenue Increase %</t>
  </si>
  <si>
    <t>Projected Revenue at Proposed 2027 Fare Levels</t>
  </si>
  <si>
    <t>4153 - Intergov. Professional Services</t>
  </si>
  <si>
    <t>2027 PROPOSED FARE</t>
  </si>
  <si>
    <t>2026 CURRENT FARE</t>
  </si>
  <si>
    <t xml:space="preserve">FARES </t>
  </si>
  <si>
    <t>2026 Farebox Revenue Requirement</t>
  </si>
  <si>
    <t>2026 Farebox Revenue Target</t>
  </si>
  <si>
    <t>2026 Budgeted Farebox Revenue</t>
  </si>
  <si>
    <t>Est. 2026 Shortage</t>
  </si>
  <si>
    <t>2027 Fare Recovery %</t>
  </si>
  <si>
    <t>After-Hours Intergov. Emergency Services; if available (after-hours service is not guaranteed); plus actual costs for labor (salaries &amp; benefits)</t>
  </si>
  <si>
    <t>Vehicle/driver 14 feet or under senior/disabled</t>
  </si>
  <si>
    <t>20 trip Motorcycle</t>
  </si>
  <si>
    <t>Current Fare Structure</t>
  </si>
  <si>
    <t>Bicycle</t>
  </si>
  <si>
    <t>Bicycle senior/disabled</t>
  </si>
  <si>
    <t>Passenger Punchard</t>
  </si>
  <si>
    <t>Bicycle senior/disabled/youth</t>
  </si>
  <si>
    <t>2026 Adopted Budget (as of 6/30</t>
  </si>
  <si>
    <t xml:space="preserve">2026 Cost (per Hr.) </t>
  </si>
  <si>
    <t xml:space="preserve">2026 Cost (per Run) </t>
  </si>
  <si>
    <t>2-Yr. Average Expenditures</t>
  </si>
  <si>
    <t xml:space="preserve">2 Yr. Average Cost (per Hr.) </t>
  </si>
  <si>
    <t xml:space="preserve">2 Yr. Average Cost (per Run) </t>
  </si>
  <si>
    <t>Object 510 - Salaries &amp; Wages</t>
  </si>
  <si>
    <t>Salaries &amp; Wages</t>
  </si>
  <si>
    <t>Leave Salaries</t>
  </si>
  <si>
    <t>Ferry PT salaries</t>
  </si>
  <si>
    <t>Ferry OT</t>
  </si>
  <si>
    <t>Ferry Premium</t>
  </si>
  <si>
    <t>Obj. 510</t>
  </si>
  <si>
    <t>Subtotal</t>
  </si>
  <si>
    <t>Object 520 - Personnel Benefits</t>
  </si>
  <si>
    <t>Ferry SS</t>
  </si>
  <si>
    <t>Ferry Retirement</t>
  </si>
  <si>
    <t>Ferry L&amp;I</t>
  </si>
  <si>
    <t>Ferry medical</t>
  </si>
  <si>
    <t>Ferry uniforms</t>
  </si>
  <si>
    <t>Ferry Unemployment</t>
  </si>
  <si>
    <t>Obj. 520</t>
  </si>
  <si>
    <t>Object 530 - Supplies &amp; Consumables</t>
  </si>
  <si>
    <t>Operating Supplies</t>
  </si>
  <si>
    <t>Fuel</t>
  </si>
  <si>
    <t>Interfund Parts</t>
  </si>
  <si>
    <t>Small Tools &amp; Minor Equipment</t>
  </si>
  <si>
    <t>Obj. 530</t>
  </si>
  <si>
    <t>Object 540 - Service &amp; Pass-Through Payments</t>
  </si>
  <si>
    <t>Professional Services</t>
  </si>
  <si>
    <t>Intergov Professional Services</t>
  </si>
  <si>
    <t>Interfund Payments for Services</t>
  </si>
  <si>
    <t>External Taxes</t>
  </si>
  <si>
    <t>Interfund I.S.</t>
  </si>
  <si>
    <t>Communications</t>
  </si>
  <si>
    <t>Travel</t>
  </si>
  <si>
    <t>Meals</t>
  </si>
  <si>
    <t>Advertising</t>
  </si>
  <si>
    <t>Rentals</t>
  </si>
  <si>
    <t>Interfund Eq.</t>
  </si>
  <si>
    <t>Insurance</t>
  </si>
  <si>
    <t>Utilities</t>
  </si>
  <si>
    <t>Maintenance</t>
  </si>
  <si>
    <t>Interfund Shop</t>
  </si>
  <si>
    <t>Misc.</t>
  </si>
  <si>
    <t>Obj. 540</t>
  </si>
  <si>
    <t>Total O&amp;M Budget</t>
  </si>
  <si>
    <t>Budgeted Farebox Revenue</t>
  </si>
  <si>
    <t>State Revenue</t>
  </si>
  <si>
    <t>Budgeted FHWA FBP</t>
  </si>
  <si>
    <t>Road Fund Subsidy</t>
  </si>
  <si>
    <t>Budgeted</t>
  </si>
  <si>
    <t xml:space="preserve">Budgeted </t>
  </si>
  <si>
    <t>2026 Budgeted Operating Hrs.</t>
  </si>
  <si>
    <t>2026 Budgeted Runs</t>
  </si>
  <si>
    <t>2027 Budgeted Operating Hrs.</t>
  </si>
  <si>
    <t>2027 Budgeted Runs</t>
  </si>
  <si>
    <t>2027 Budgeted Farebox Revenue</t>
  </si>
  <si>
    <t>Budgeted Revenue Per Hour</t>
  </si>
  <si>
    <t>2-Yr. Average</t>
  </si>
  <si>
    <t>Farebox Revenue Per Hour</t>
  </si>
  <si>
    <t>Budgeted Revenue Per Run</t>
  </si>
  <si>
    <t>Farebox Revenue Per Run</t>
  </si>
  <si>
    <t>Deficit Reimbursement Per Run</t>
  </si>
  <si>
    <t>Operating Hours Extra Run</t>
  </si>
  <si>
    <t>Proposed HAZMAT Run</t>
  </si>
  <si>
    <t>After-Hours Charter*</t>
  </si>
  <si>
    <t>Intergovernmental E-Svc*</t>
  </si>
  <si>
    <t>* After-hours service is not guaranteed</t>
  </si>
  <si>
    <r>
      <t xml:space="preserve">Youth Ride Free Reimbursement </t>
    </r>
    <r>
      <rPr>
        <vertAlign val="superscript"/>
        <sz val="12"/>
        <color rgb="FF000000"/>
        <rFont val="Arial Narrow"/>
        <family val="2"/>
      </rPr>
      <t>(3)</t>
    </r>
  </si>
  <si>
    <r>
      <t>Projected</t>
    </r>
    <r>
      <rPr>
        <vertAlign val="superscript"/>
        <sz val="12"/>
        <color rgb="FF000000"/>
        <rFont val="Arial Narrow"/>
        <family val="2"/>
      </rPr>
      <t xml:space="preserve"> (1)</t>
    </r>
  </si>
  <si>
    <r>
      <rPr>
        <vertAlign val="superscript"/>
        <sz val="12"/>
        <color rgb="FF000000"/>
        <rFont val="Arial Narrow"/>
        <family val="2"/>
      </rPr>
      <t>(1)</t>
    </r>
    <r>
      <rPr>
        <sz val="12"/>
        <color rgb="FF000000"/>
        <rFont val="Arial Narrow"/>
        <family val="2"/>
      </rPr>
      <t xml:space="preserve"> Cost escalation has been adjusted for recent inflation projections -Seattle area CPI</t>
    </r>
  </si>
  <si>
    <r>
      <t xml:space="preserve">Deficit Reimbursement </t>
    </r>
    <r>
      <rPr>
        <vertAlign val="superscript"/>
        <sz val="12"/>
        <color rgb="FF000000"/>
        <rFont val="Arial Narrow"/>
        <family val="2"/>
      </rPr>
      <t>(2)</t>
    </r>
  </si>
  <si>
    <t xml:space="preserve">Adjusted O&amp;M </t>
  </si>
  <si>
    <t>2026 Est. Operating Runs - Preliminary 06JULY2026</t>
  </si>
  <si>
    <t>Nonpeak Base</t>
  </si>
  <si>
    <t>Peak Base</t>
  </si>
  <si>
    <t>Sun.</t>
  </si>
  <si>
    <t>Runs/Day</t>
  </si>
  <si>
    <t>Mon.</t>
  </si>
  <si>
    <t>Tues.</t>
  </si>
  <si>
    <t>Wed.</t>
  </si>
  <si>
    <t>Thurs.</t>
  </si>
  <si>
    <t>Fri.</t>
  </si>
  <si>
    <t>Sat.</t>
  </si>
  <si>
    <t>Hrs/Day</t>
  </si>
  <si>
    <t>2027 Est.Operating Hours - Preliminary 06JULY2026</t>
  </si>
  <si>
    <t>2027 Est.Operating Runs - Preliminary 06JULY2026</t>
  </si>
  <si>
    <r>
      <rPr>
        <vertAlign val="superscript"/>
        <sz val="12"/>
        <color rgb="FF000000"/>
        <rFont val="Arial Narrow"/>
        <family val="2"/>
      </rPr>
      <t>(3)</t>
    </r>
    <r>
      <rPr>
        <sz val="12"/>
        <color rgb="FF000000"/>
        <rFont val="Arial Narrow"/>
        <family val="2"/>
      </rPr>
      <t xml:space="preserve"> Reimbursement for youth ride free program started July 1, 2025 &amp; current agreement expires June 30, 2027; actual revenue received is used for 2025; and budgeted revenue was used for 2026 and 2027</t>
    </r>
  </si>
  <si>
    <r>
      <t xml:space="preserve">MVFT </t>
    </r>
    <r>
      <rPr>
        <vertAlign val="superscript"/>
        <sz val="12"/>
        <color rgb="FF000000"/>
        <rFont val="Arial Narrow"/>
        <family val="2"/>
      </rPr>
      <t>(2)</t>
    </r>
  </si>
  <si>
    <r>
      <rPr>
        <vertAlign val="superscript"/>
        <sz val="12"/>
        <color rgb="FF000000"/>
        <rFont val="Arial Narrow"/>
        <family val="2"/>
      </rPr>
      <t>(2)</t>
    </r>
    <r>
      <rPr>
        <sz val="12"/>
        <color rgb="FF000000"/>
        <rFont val="Arial Narrow"/>
        <family val="2"/>
      </rPr>
      <t xml:space="preserve"> 5-year average (2021-2025), used for 2026, 2027, and 2028 projected</t>
    </r>
  </si>
  <si>
    <t>2026 Est.Operating Hours - Preliminary 06JULY2026</t>
  </si>
  <si>
    <t>OERF Seattle MSA CPI-U and CPI-W, baseline scenario forecast, March 2026. Forecasted values are shaded</t>
  </si>
  <si>
    <t>Seattle MSA CPI-U</t>
  </si>
  <si>
    <t>Seattle MSA CPI-W</t>
  </si>
  <si>
    <t xml:space="preserve">index </t>
  </si>
  <si>
    <t>% change</t>
  </si>
  <si>
    <t>1982-84=100</t>
  </si>
  <si>
    <t>year-over-year</t>
  </si>
  <si>
    <t>TABLE 6 - Variation between O&amp;M, adjusted O&amp;M, and revenue target</t>
  </si>
  <si>
    <t>2026 Budgeted</t>
  </si>
  <si>
    <t>2027 Proj.</t>
  </si>
  <si>
    <t>2028 Proj.</t>
  </si>
  <si>
    <t xml:space="preserve">2029 Proj. </t>
  </si>
  <si>
    <t>Total O&amp;M Exp.</t>
  </si>
  <si>
    <t>Adjusted O&amp;M Exp.</t>
  </si>
  <si>
    <t>Revenue Target</t>
  </si>
  <si>
    <t>Table 7: 5-Year Trend of Fare Box Revenue Vs. Road Fund Contribution</t>
  </si>
  <si>
    <t xml:space="preserve">2028 Proj. </t>
  </si>
  <si>
    <t>2029 Proj.</t>
  </si>
  <si>
    <t>Fare Box Revenue</t>
  </si>
  <si>
    <t>Road Fund Contribution</t>
  </si>
  <si>
    <t>TABLE 2 - 2025 REVENUE TARGET</t>
  </si>
  <si>
    <t>Ferry Fare Revenue Target</t>
  </si>
  <si>
    <t>TABLE 3 - ROAD FUND SUBSIDY 2025</t>
  </si>
  <si>
    <t>Deficit Reimbursement</t>
  </si>
  <si>
    <t>Motor Vehicle Fuel Tax</t>
  </si>
  <si>
    <t>Youth Ride Free</t>
  </si>
  <si>
    <t>Adjusted O&amp;M Expenditures</t>
  </si>
  <si>
    <t>FHWA FBP Funding</t>
  </si>
  <si>
    <t>TABLE 4 - FARE BOX REVENUE 2021-2025</t>
  </si>
  <si>
    <t>Table 9: VESSEL REPLACEMENT SURCHARGE</t>
  </si>
  <si>
    <t>2019 Actual</t>
  </si>
  <si>
    <t>2020 Actual</t>
  </si>
  <si>
    <t>2021 Actual</t>
  </si>
  <si>
    <t>2022 Actual</t>
  </si>
  <si>
    <t>2023 Actual</t>
  </si>
  <si>
    <t>2024 Actual</t>
  </si>
  <si>
    <t>Variance</t>
  </si>
  <si>
    <t>2025 Farebox Revenue Requirement</t>
  </si>
  <si>
    <t>2025 Farebox Revenue Target</t>
  </si>
  <si>
    <t>2025 Farebox Revenue</t>
  </si>
  <si>
    <t>2025 FBP</t>
  </si>
  <si>
    <t>% of Total (2025)</t>
  </si>
  <si>
    <t>5-Year Average</t>
  </si>
  <si>
    <t>% of Total (5-Year)</t>
  </si>
  <si>
    <t>MVFT</t>
  </si>
  <si>
    <t>Fares</t>
  </si>
  <si>
    <t>Deficit Reimb</t>
  </si>
  <si>
    <t>Road Fund</t>
  </si>
  <si>
    <t>FBP</t>
  </si>
  <si>
    <t>2025 Actual</t>
  </si>
  <si>
    <t>2018 Actual</t>
  </si>
  <si>
    <t>Table 8 - Revenue Target Variance</t>
  </si>
  <si>
    <t xml:space="preserve">Table 1 - Revenue Target Calculation Table </t>
  </si>
  <si>
    <t>Table 5 - Total Revenue (2021-2025)</t>
  </si>
  <si>
    <r>
      <t>Surplus/</t>
    </r>
    <r>
      <rPr>
        <sz val="10"/>
        <color indexed="10"/>
        <rFont val="Arial Narrow"/>
        <family val="2"/>
      </rPr>
      <t>(Shortfall)</t>
    </r>
    <r>
      <rPr>
        <sz val="10"/>
        <color theme="1"/>
        <rFont val="Arial Narrow"/>
        <family val="2"/>
      </rPr>
      <t xml:space="preserve"> From Rev Target</t>
    </r>
  </si>
  <si>
    <t xml:space="preserve">(1) For single-ride tickets: 14% fare increase applied to 2026 current O&amp;M fare; rounded to the nearest quarter </t>
  </si>
  <si>
    <t>Multi Ride Discount</t>
  </si>
  <si>
    <t>(2) For multi-ride passes: the 2027 proposed fare is equal to the 2027 proposed O&amp;M fare for that category multiplied by the number of trips, except needs-based pass has 15% discount applied</t>
  </si>
  <si>
    <t>Dept. 0053 - County Roads</t>
  </si>
  <si>
    <t>Div. 004 - Ferry</t>
  </si>
  <si>
    <t>Expenditures</t>
  </si>
  <si>
    <t>% Difference</t>
  </si>
  <si>
    <t>Obj. 530 - Supplies/Consumables</t>
  </si>
  <si>
    <t>Obj. 540 - Services &amp; Pass Through Payments</t>
  </si>
  <si>
    <t>4153 - Intergovernmental Professional Services</t>
  </si>
  <si>
    <t>4154 - Interfund Payment for Service</t>
  </si>
  <si>
    <t>4155 - External Taxes &amp; Ops Assessment</t>
  </si>
  <si>
    <t>4190 - Interfund Information Services</t>
  </si>
  <si>
    <t>4511 - Interfund Equipment Rental</t>
  </si>
  <si>
    <t>4810 - Repairs &amp; Maintenance</t>
  </si>
  <si>
    <t xml:space="preserve">O&amp;M  Total </t>
  </si>
  <si>
    <t>Obj. 560 - Capital Outlays</t>
  </si>
  <si>
    <t>6310 - Other Improvements</t>
  </si>
  <si>
    <t>6411 - Equipment &gt; $5,000</t>
  </si>
  <si>
    <r>
      <t xml:space="preserve">Total </t>
    </r>
    <r>
      <rPr>
        <vertAlign val="superscript"/>
        <sz val="11"/>
        <color theme="1"/>
        <rFont val="Calibri"/>
        <family val="2"/>
        <scheme val="minor"/>
      </rPr>
      <t>(1)</t>
    </r>
  </si>
  <si>
    <t>2020 Expenditures Chart</t>
  </si>
  <si>
    <t>2025 Budgeted</t>
  </si>
  <si>
    <t>4218 - Professional Services (Other)</t>
  </si>
  <si>
    <t>2027 Sales Projections (Avg. 2024/2025 Actual Sales)</t>
  </si>
  <si>
    <t>2025 Shortage</t>
  </si>
  <si>
    <t>Each 10 foot increment over 60 feet</t>
  </si>
  <si>
    <r>
      <rPr>
        <i/>
        <vertAlign val="superscript"/>
        <sz val="9"/>
        <color theme="1"/>
        <rFont val="Calibri"/>
        <family val="2"/>
        <scheme val="minor"/>
      </rPr>
      <t>(1)</t>
    </r>
    <r>
      <rPr>
        <i/>
        <sz val="9"/>
        <color theme="1"/>
        <rFont val="Calibri"/>
        <family val="2"/>
        <scheme val="minor"/>
      </rPr>
      <t>Source: Skagit County Cayenta Financial System Report Budget Monitoring 117-4 FY25</t>
    </r>
  </si>
  <si>
    <t>*Assumes 14.0% fare increase Jan. 1, 2027</t>
  </si>
  <si>
    <t>2027 Preliminary Budget (8/31/26)</t>
  </si>
  <si>
    <t>2027 Est. Cost (per Hr.)</t>
  </si>
  <si>
    <t xml:space="preserve">2027 Est. Cost (per Run) </t>
  </si>
  <si>
    <t>State Revenue Per Hour</t>
  </si>
  <si>
    <t>Total Fixed Expenditures</t>
  </si>
  <si>
    <t>Note: Base cost for services - based on 2027 Budgeted Fixed Costs (as of 08/31/26) Per Hour, total bill for services will include actual costs for salaries, wages, and benefits, plus …</t>
  </si>
  <si>
    <t>Note: Based on 2027 budgeted (as of 08/31/26) per run</t>
  </si>
  <si>
    <t>Note: Based on 2027 budgeted (as of 08/31/26) per run, plus 35% mark-up</t>
  </si>
  <si>
    <t>Note: Based on 2027 budgeted (as of 08/31/26) per hour for 3 hours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</si>
</sst>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5" formatCode="&quot;$&quot;#,##0_);\(&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00"/>
    <numFmt numFmtId="165" formatCode="&quot;$&quot;#,##0"/>
    <numFmt numFmtId="166" formatCode="0.0%"/>
    <numFmt numFmtId="167" formatCode="0.000%"/>
    <numFmt numFmtId="168" formatCode="0_);[Red]\(0\)"/>
    <numFmt numFmtId="169" formatCode="_(* #,##0_);_(* \(#,##0\);_(* &quot;-&quot;??_);_(@_)"/>
    <numFmt numFmtId="170" formatCode="0_);\(0\)"/>
    <numFmt numFmtId="171" formatCode="0.000"/>
    <numFmt numFmtId="172" formatCode="_(&quot;$&quot;* #,##0_);_(&quot;$&quot;* \(#,##0\);_(&quot;$&quot;* &quot;-&quot;??_);_(@_)"/>
  </numFmts>
  <fonts count="72"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Arial Narrow"/>
      <family val="2"/>
    </font>
    <font>
      <sz val="12"/>
      <color theme="0"/>
      <name val="Arial Narrow"/>
      <family val="2"/>
    </font>
    <font>
      <sz val="10"/>
      <color rgb="FF000000"/>
      <name val="Tahoma"/>
      <family val="2"/>
    </font>
    <font>
      <b/>
      <sz val="10"/>
      <color rgb="FF000000"/>
      <name val="Tahoma"/>
      <family val="2"/>
    </font>
    <font>
      <b/>
      <sz val="14"/>
      <color theme="1"/>
      <name val="Arial Narrow"/>
      <family val="2"/>
    </font>
    <font>
      <sz val="14"/>
      <color theme="1"/>
      <name val="Arial Narrow"/>
      <family val="2"/>
    </font>
    <font>
      <sz val="10"/>
      <color rgb="FF000000"/>
      <name val="Calibri"/>
      <family val="2"/>
    </font>
    <font>
      <sz val="12"/>
      <color rgb="FF000000"/>
      <name val="Arial Narrow"/>
      <family val="2"/>
    </font>
    <font>
      <sz val="12"/>
      <name val="Courier"/>
    </font>
    <font>
      <sz val="12"/>
      <name val="Times New Roman"/>
      <family val="1"/>
    </font>
    <font>
      <sz val="12"/>
      <color rgb="FFFF0000"/>
      <name val="Arial Narrow"/>
      <family val="2"/>
    </font>
    <font>
      <sz val="12"/>
      <color rgb="FFFFF9E0"/>
      <name val="Arial Narrow"/>
      <family val="2"/>
    </font>
    <font>
      <vertAlign val="superscript"/>
      <sz val="12"/>
      <color rgb="FF000000"/>
      <name val="Arial Narrow"/>
      <family val="2"/>
    </font>
    <font>
      <b/>
      <sz val="12"/>
      <color theme="1"/>
      <name val="Arial Narrow"/>
      <family val="2"/>
    </font>
    <font>
      <vertAlign val="superscript"/>
      <sz val="12"/>
      <color theme="0"/>
      <name val="Arial Narrow"/>
      <family val="2"/>
    </font>
    <font>
      <sz val="10"/>
      <color rgb="FF000000"/>
      <name val="Times New Roman"/>
      <family val="1"/>
    </font>
    <font>
      <b/>
      <sz val="9"/>
      <color indexed="81"/>
      <name val="Tahoma"/>
      <family val="2"/>
    </font>
    <font>
      <sz val="9"/>
      <color indexed="81"/>
      <name val="Tahoma"/>
      <family val="2"/>
    </font>
    <font>
      <u/>
      <sz val="12"/>
      <color theme="10"/>
      <name val="Calibri"/>
      <family val="2"/>
      <scheme val="minor"/>
    </font>
    <font>
      <strike/>
      <sz val="12"/>
      <color theme="0"/>
      <name val="Arial Narrow"/>
      <family val="2"/>
    </font>
    <font>
      <strike/>
      <sz val="12"/>
      <color theme="1"/>
      <name val="Arial Narrow"/>
      <family val="2"/>
    </font>
    <font>
      <sz val="12"/>
      <name val="Arial Narrow"/>
      <family val="2"/>
    </font>
    <font>
      <strike/>
      <sz val="14"/>
      <color theme="1"/>
      <name val="Arial Narrow"/>
      <family val="2"/>
    </font>
    <font>
      <strike/>
      <sz val="12"/>
      <color theme="1"/>
      <name val="Calibri"/>
      <family val="2"/>
      <scheme val="minor"/>
    </font>
    <font>
      <sz val="12"/>
      <color theme="1"/>
      <name val="Calibri"/>
      <family val="2"/>
      <scheme val="minor"/>
    </font>
    <font>
      <b/>
      <u/>
      <sz val="12"/>
      <color theme="1"/>
      <name val="Arial Narrow"/>
      <family val="2"/>
    </font>
    <font>
      <b/>
      <strike/>
      <u/>
      <sz val="12"/>
      <color theme="1"/>
      <name val="Arial Narrow"/>
      <family val="2"/>
    </font>
    <font>
      <u/>
      <sz val="12"/>
      <color theme="1"/>
      <name val="Arial Narrow"/>
      <family val="2"/>
    </font>
    <font>
      <u/>
      <sz val="12"/>
      <color rgb="FF000000"/>
      <name val="Arial Narrow"/>
      <family val="2"/>
    </font>
    <font>
      <vertAlign val="superscript"/>
      <sz val="11"/>
      <color rgb="FF000000"/>
      <name val="Arial Narrow"/>
      <family val="2"/>
    </font>
    <font>
      <sz val="11"/>
      <color rgb="FF000000"/>
      <name val="Arial Narrow"/>
      <family val="2"/>
    </font>
    <font>
      <i/>
      <sz val="12"/>
      <name val="Arial Narrow"/>
      <family val="2"/>
    </font>
    <font>
      <i/>
      <sz val="12"/>
      <color theme="1"/>
      <name val="Arial Narrow"/>
      <family val="2"/>
    </font>
    <font>
      <b/>
      <sz val="12"/>
      <name val="Arial Narrow"/>
      <family val="2"/>
    </font>
    <font>
      <b/>
      <sz val="12"/>
      <color theme="0"/>
      <name val="Arial Narrow"/>
      <family val="2"/>
    </font>
    <font>
      <sz val="12"/>
      <name val="Courier"/>
      <family val="3"/>
    </font>
    <font>
      <b/>
      <sz val="12"/>
      <name val="Arial"/>
      <family val="2"/>
    </font>
    <font>
      <sz val="12"/>
      <name val="Arial"/>
      <family val="2"/>
    </font>
    <font>
      <sz val="8"/>
      <name val="Arial"/>
      <family val="2"/>
    </font>
    <font>
      <b/>
      <sz val="10"/>
      <color indexed="8"/>
      <name val="Arial"/>
      <family val="2"/>
    </font>
    <font>
      <sz val="10"/>
      <color indexed="8"/>
      <name val="Arial"/>
      <family val="2"/>
    </font>
    <font>
      <sz val="10"/>
      <name val="Arial"/>
      <family val="2"/>
    </font>
    <font>
      <b/>
      <sz val="12"/>
      <color rgb="FF000000"/>
      <name val="Arial Narrow"/>
      <family val="2"/>
    </font>
    <font>
      <b/>
      <sz val="12"/>
      <color rgb="FFFF0000"/>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b/>
      <sz val="12"/>
      <color theme="1"/>
      <name val="Calibri"/>
      <family val="2"/>
      <scheme val="minor"/>
    </font>
    <font>
      <b/>
      <sz val="9"/>
      <color theme="1"/>
      <name val="Arial"/>
      <family val="2"/>
    </font>
    <font>
      <sz val="10"/>
      <name val="Arial"/>
      <family val="2"/>
    </font>
    <font>
      <b/>
      <sz val="11"/>
      <name val="Arial"/>
      <family val="2"/>
    </font>
    <font>
      <b/>
      <sz val="10"/>
      <name val="Arial"/>
      <family val="2"/>
    </font>
    <font>
      <sz val="10"/>
      <color indexed="12"/>
      <name val="Arial"/>
      <family val="2"/>
    </font>
    <font>
      <sz val="10"/>
      <color theme="1"/>
      <name val="Arial"/>
      <family val="2"/>
    </font>
    <font>
      <b/>
      <i/>
      <sz val="11"/>
      <color theme="1"/>
      <name val="Calibri"/>
      <family val="2"/>
      <scheme val="minor"/>
    </font>
    <font>
      <sz val="11"/>
      <color indexed="8"/>
      <name val="Calibri"/>
      <family val="2"/>
    </font>
    <font>
      <b/>
      <sz val="10"/>
      <color theme="1"/>
      <name val="Arial Narrow"/>
      <family val="2"/>
    </font>
    <font>
      <sz val="10"/>
      <name val="Arial Narrow"/>
      <family val="2"/>
    </font>
    <font>
      <sz val="10"/>
      <color theme="1"/>
      <name val="Arial Narrow"/>
      <family val="2"/>
    </font>
    <font>
      <sz val="10"/>
      <color indexed="10"/>
      <name val="Arial Narrow"/>
      <family val="2"/>
    </font>
    <font>
      <b/>
      <sz val="10"/>
      <name val="Arial Narrow"/>
      <family val="2"/>
    </font>
    <font>
      <b/>
      <sz val="10"/>
      <color indexed="8"/>
      <name val="Arial Narrow"/>
      <family val="2"/>
    </font>
    <font>
      <sz val="10"/>
      <color indexed="8"/>
      <name val="Arial Narrow"/>
      <family val="2"/>
    </font>
    <font>
      <vertAlign val="superscript"/>
      <sz val="11"/>
      <color theme="1"/>
      <name val="Calibri"/>
      <family val="2"/>
      <scheme val="minor"/>
    </font>
    <font>
      <sz val="10"/>
      <color theme="1"/>
      <name val="Calibri"/>
      <family val="2"/>
      <scheme val="minor"/>
    </font>
    <font>
      <i/>
      <sz val="9"/>
      <color theme="1"/>
      <name val="Calibri"/>
      <family val="2"/>
      <scheme val="minor"/>
    </font>
    <font>
      <i/>
      <vertAlign val="superscript"/>
      <sz val="9"/>
      <color theme="1"/>
      <name val="Calibri"/>
      <family val="2"/>
      <scheme val="minor"/>
    </font>
  </fonts>
  <fills count="28">
    <fill>
      <patternFill patternType="none"/>
    </fill>
    <fill>
      <patternFill patternType="gray125"/>
    </fill>
    <fill>
      <patternFill patternType="solid">
        <fgColor rgb="FFA1BDFF"/>
        <bgColor indexed="64"/>
      </patternFill>
    </fill>
    <fill>
      <patternFill patternType="solid">
        <fgColor rgb="FFFFE2F8"/>
        <bgColor indexed="64"/>
      </patternFill>
    </fill>
    <fill>
      <patternFill patternType="solid">
        <fgColor theme="0"/>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2" tint="-0.499984740745262"/>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rgb="FFFFFF00"/>
        <bgColor indexed="64"/>
      </patternFill>
    </fill>
    <fill>
      <patternFill patternType="solid">
        <fgColor theme="7" tint="0.59999389629810485"/>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8" tint="0.59999389629810485"/>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rgb="FFFFC000"/>
        <bgColor indexed="64"/>
      </patternFill>
    </fill>
    <fill>
      <patternFill patternType="solid">
        <fgColor rgb="FFD4D4D4"/>
        <bgColor indexed="64"/>
      </patternFill>
    </fill>
    <fill>
      <patternFill patternType="solid">
        <fgColor rgb="FFFFC6C6"/>
        <bgColor indexed="64"/>
      </patternFill>
    </fill>
    <fill>
      <patternFill patternType="solid">
        <fgColor rgb="FFC5D3FF"/>
        <bgColor indexed="64"/>
      </patternFill>
    </fill>
    <fill>
      <patternFill patternType="solid">
        <fgColor rgb="FFAAE571"/>
        <bgColor indexed="64"/>
      </patternFill>
    </fill>
    <fill>
      <patternFill patternType="solid">
        <fgColor theme="0" tint="-0.499984740745262"/>
        <bgColor indexed="64"/>
      </patternFill>
    </fill>
    <fill>
      <patternFill patternType="solid">
        <fgColor theme="8" tint="0.79998168889431442"/>
        <bgColor indexed="64"/>
      </patternFill>
    </fill>
    <fill>
      <patternFill patternType="solid">
        <fgColor rgb="FFB4C6E7"/>
        <bgColor indexed="64"/>
      </patternFill>
    </fill>
    <fill>
      <patternFill patternType="solid">
        <fgColor rgb="FFA3DBFF"/>
        <bgColor indexed="64"/>
      </patternFill>
    </fill>
  </fills>
  <borders count="107">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top style="thin">
        <color auto="1"/>
      </top>
      <bottom/>
      <diagonal/>
    </border>
    <border>
      <left style="thin">
        <color auto="1"/>
      </left>
      <right/>
      <top style="thin">
        <color auto="1"/>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medium">
        <color rgb="FFA1BDFF"/>
      </right>
      <top/>
      <bottom/>
      <diagonal/>
    </border>
    <border>
      <left/>
      <right style="thick">
        <color rgb="FFA1BDFF"/>
      </right>
      <top/>
      <bottom/>
      <diagonal/>
    </border>
    <border>
      <left style="thick">
        <color rgb="FFA1BDFF"/>
      </left>
      <right/>
      <top style="thick">
        <color rgb="FFA1BDFF"/>
      </top>
      <bottom/>
      <diagonal/>
    </border>
    <border>
      <left/>
      <right style="thick">
        <color rgb="FFA1BDFF"/>
      </right>
      <top style="thick">
        <color rgb="FFA1BDFF"/>
      </top>
      <bottom/>
      <diagonal/>
    </border>
    <border>
      <left style="thick">
        <color rgb="FFA1BDFF"/>
      </left>
      <right/>
      <top/>
      <bottom/>
      <diagonal/>
    </border>
    <border>
      <left/>
      <right style="thick">
        <color rgb="FFA1BDFF"/>
      </right>
      <top/>
      <bottom style="thick">
        <color rgb="FFA1BDFF"/>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style="medium">
        <color rgb="FFA1BDFF"/>
      </left>
      <right/>
      <top/>
      <bottom/>
      <diagonal/>
    </border>
    <border>
      <left style="medium">
        <color theme="0"/>
      </left>
      <right/>
      <top/>
      <bottom/>
      <diagonal/>
    </border>
    <border>
      <left/>
      <right style="medium">
        <color theme="0"/>
      </right>
      <top style="medium">
        <color theme="0"/>
      </top>
      <bottom/>
      <diagonal/>
    </border>
    <border>
      <left/>
      <right/>
      <top style="medium">
        <color theme="0"/>
      </top>
      <bottom/>
      <diagonal/>
    </border>
    <border>
      <left style="medium">
        <color theme="0"/>
      </left>
      <right/>
      <top style="medium">
        <color theme="0"/>
      </top>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right/>
      <top style="thin">
        <color rgb="FFFFF9E0"/>
      </top>
      <bottom/>
      <diagonal/>
    </border>
    <border>
      <left/>
      <right/>
      <top/>
      <bottom style="thin">
        <color rgb="FFFFF9E0"/>
      </bottom>
      <diagonal/>
    </border>
    <border>
      <left style="thin">
        <color theme="9" tint="-0.24994659260841701"/>
      </left>
      <right/>
      <top/>
      <bottom style="thin">
        <color theme="9" tint="-0.24994659260841701"/>
      </bottom>
      <diagonal/>
    </border>
    <border>
      <left style="thin">
        <color rgb="FFFFF9E0"/>
      </left>
      <right/>
      <top style="thin">
        <color rgb="FFFFF9E0"/>
      </top>
      <bottom style="thin">
        <color rgb="FFFFF9E0"/>
      </bottom>
      <diagonal/>
    </border>
    <border>
      <left/>
      <right/>
      <top style="thin">
        <color rgb="FFFFF9E0"/>
      </top>
      <bottom style="thin">
        <color rgb="FFFFF9E0"/>
      </bottom>
      <diagonal/>
    </border>
    <border>
      <left/>
      <right/>
      <top/>
      <bottom style="thin">
        <color theme="9" tint="-0.24994659260841701"/>
      </bottom>
      <diagonal/>
    </border>
    <border>
      <left style="thin">
        <color theme="0"/>
      </left>
      <right/>
      <top style="thin">
        <color theme="0"/>
      </top>
      <bottom style="thin">
        <color theme="0"/>
      </bottom>
      <diagonal/>
    </border>
    <border>
      <left style="thick">
        <color theme="0"/>
      </left>
      <right/>
      <top style="thin">
        <color rgb="FFFFF9E0"/>
      </top>
      <bottom/>
      <diagonal/>
    </border>
    <border>
      <left style="thick">
        <color theme="0"/>
      </left>
      <right style="thin">
        <color theme="0"/>
      </right>
      <top style="thin">
        <color theme="0"/>
      </top>
      <bottom style="thin">
        <color theme="0"/>
      </bottom>
      <diagonal/>
    </border>
    <border>
      <left style="thick">
        <color theme="0"/>
      </left>
      <right/>
      <top/>
      <bottom/>
      <diagonal/>
    </border>
    <border>
      <left style="thick">
        <color theme="0"/>
      </left>
      <right/>
      <top/>
      <bottom style="thin">
        <color theme="9" tint="-0.24994659260841701"/>
      </bottom>
      <diagonal/>
    </border>
    <border>
      <left/>
      <right style="thick">
        <color theme="0"/>
      </right>
      <top/>
      <bottom/>
      <diagonal/>
    </border>
    <border>
      <left/>
      <right/>
      <top style="thin">
        <color theme="0"/>
      </top>
      <bottom style="thin">
        <color theme="0"/>
      </bottom>
      <diagonal/>
    </border>
    <border>
      <left style="thick">
        <color theme="0"/>
      </left>
      <right style="thin">
        <color theme="0"/>
      </right>
      <top/>
      <bottom style="thin">
        <color theme="0"/>
      </bottom>
      <diagonal/>
    </border>
    <border>
      <left/>
      <right style="thin">
        <color theme="4" tint="-0.24994659260841701"/>
      </right>
      <top/>
      <bottom style="thin">
        <color rgb="FFFFF9E0"/>
      </bottom>
      <diagonal/>
    </border>
    <border>
      <left style="thick">
        <color theme="0"/>
      </left>
      <right/>
      <top/>
      <bottom style="thin">
        <color theme="0"/>
      </bottom>
      <diagonal/>
    </border>
    <border>
      <left style="thick">
        <color theme="0"/>
      </left>
      <right/>
      <top style="thin">
        <color theme="0"/>
      </top>
      <bottom style="thin">
        <color theme="0"/>
      </bottom>
      <diagonal/>
    </border>
    <border>
      <left/>
      <right style="thick">
        <color theme="0"/>
      </right>
      <top/>
      <bottom style="thin">
        <color theme="0"/>
      </bottom>
      <diagonal/>
    </border>
    <border>
      <left/>
      <right/>
      <top/>
      <bottom style="thin">
        <color theme="0"/>
      </bottom>
      <diagonal/>
    </border>
    <border>
      <left/>
      <right style="thick">
        <color theme="0"/>
      </right>
      <top style="thin">
        <color theme="0"/>
      </top>
      <bottom style="thin">
        <color theme="0"/>
      </bottom>
      <diagonal/>
    </border>
    <border>
      <left/>
      <right style="thick">
        <color theme="0"/>
      </right>
      <top style="thick">
        <color theme="0"/>
      </top>
      <bottom/>
      <diagonal/>
    </border>
    <border>
      <left style="thick">
        <color theme="0"/>
      </left>
      <right style="thick">
        <color theme="0"/>
      </right>
      <top style="thick">
        <color theme="0"/>
      </top>
      <bottom/>
      <diagonal/>
    </border>
    <border>
      <left style="thick">
        <color theme="0"/>
      </left>
      <right/>
      <top style="thick">
        <color theme="0"/>
      </top>
      <bottom/>
      <diagonal/>
    </border>
    <border>
      <left style="medium">
        <color rgb="FFA1BDFF"/>
      </left>
      <right/>
      <top style="medium">
        <color rgb="FFA1BDFF"/>
      </top>
      <bottom/>
      <diagonal/>
    </border>
    <border>
      <left/>
      <right/>
      <top style="medium">
        <color rgb="FFA1BDFF"/>
      </top>
      <bottom/>
      <diagonal/>
    </border>
    <border>
      <left/>
      <right style="medium">
        <color rgb="FFA1BDFF"/>
      </right>
      <top style="medium">
        <color rgb="FFA1BDFF"/>
      </top>
      <bottom/>
      <diagonal/>
    </border>
    <border>
      <left style="medium">
        <color rgb="FFA1BDFF"/>
      </left>
      <right/>
      <top/>
      <bottom style="medium">
        <color rgb="FFA1BDFF"/>
      </bottom>
      <diagonal/>
    </border>
    <border>
      <left/>
      <right/>
      <top/>
      <bottom style="medium">
        <color rgb="FFA1BDFF"/>
      </bottom>
      <diagonal/>
    </border>
    <border>
      <left style="thin">
        <color theme="1"/>
      </left>
      <right style="thin">
        <color theme="1"/>
      </right>
      <top/>
      <bottom style="thin">
        <color theme="1"/>
      </bottom>
      <diagonal/>
    </border>
    <border>
      <left style="thin">
        <color theme="1"/>
      </left>
      <right style="thin">
        <color theme="1"/>
      </right>
      <top style="thin">
        <color theme="1"/>
      </top>
      <bottom style="thin">
        <color theme="1"/>
      </bottom>
      <diagonal/>
    </border>
    <border>
      <left style="thin">
        <color theme="1"/>
      </left>
      <right style="thin">
        <color theme="1"/>
      </right>
      <top/>
      <bottom/>
      <diagonal/>
    </border>
    <border>
      <left style="thin">
        <color theme="1"/>
      </left>
      <right/>
      <top style="thin">
        <color theme="1"/>
      </top>
      <bottom/>
      <diagonal/>
    </border>
    <border>
      <left/>
      <right style="thin">
        <color theme="1"/>
      </right>
      <top style="thin">
        <color theme="1"/>
      </top>
      <bottom/>
      <diagonal/>
    </border>
    <border>
      <left/>
      <right style="thin">
        <color theme="0"/>
      </right>
      <top/>
      <bottom style="thin">
        <color theme="0"/>
      </bottom>
      <diagonal/>
    </border>
    <border>
      <left style="thin">
        <color rgb="FFFF0000"/>
      </left>
      <right/>
      <top/>
      <bottom style="thin">
        <color rgb="FFFF0000"/>
      </bottom>
      <diagonal/>
    </border>
    <border>
      <left/>
      <right style="thick">
        <color theme="0"/>
      </right>
      <top/>
      <bottom style="thin">
        <color rgb="FFFF0000"/>
      </bottom>
      <diagonal/>
    </border>
    <border>
      <left style="thick">
        <color theme="0"/>
      </left>
      <right/>
      <top/>
      <bottom style="thin">
        <color rgb="FFFF0000"/>
      </bottom>
      <diagonal/>
    </border>
    <border>
      <left/>
      <right style="thin">
        <color rgb="FFFF0000"/>
      </right>
      <top/>
      <bottom style="thin">
        <color rgb="FFFF0000"/>
      </bottom>
      <diagonal/>
    </border>
    <border>
      <left/>
      <right style="thin">
        <color rgb="FFFFF9E0"/>
      </right>
      <top/>
      <bottom style="thin">
        <color rgb="FFFFF9E0"/>
      </bottom>
      <diagonal/>
    </border>
    <border>
      <left style="thin">
        <color rgb="FFFFF9E0"/>
      </left>
      <right/>
      <top/>
      <bottom style="thin">
        <color rgb="FFFFF9E0"/>
      </bottom>
      <diagonal/>
    </border>
    <border>
      <left/>
      <right style="thick">
        <color theme="0"/>
      </right>
      <top style="thin">
        <color rgb="FFFFF9E0"/>
      </top>
      <bottom/>
      <diagonal/>
    </border>
    <border>
      <left/>
      <right style="thin">
        <color theme="0"/>
      </right>
      <top style="thin">
        <color theme="0"/>
      </top>
      <bottom style="thin">
        <color theme="0"/>
      </bottom>
      <diagonal/>
    </border>
    <border>
      <left style="thin">
        <color theme="0"/>
      </left>
      <right style="thick">
        <color theme="0"/>
      </right>
      <top style="thin">
        <color theme="0"/>
      </top>
      <bottom style="thin">
        <color theme="0"/>
      </bottom>
      <diagonal/>
    </border>
    <border>
      <left style="medium">
        <color theme="0"/>
      </left>
      <right/>
      <top style="thin">
        <color indexed="64"/>
      </top>
      <bottom style="medium">
        <color theme="0"/>
      </bottom>
      <diagonal/>
    </border>
    <border>
      <left/>
      <right/>
      <top style="thin">
        <color indexed="64"/>
      </top>
      <bottom style="medium">
        <color theme="0"/>
      </bottom>
      <diagonal/>
    </border>
    <border>
      <left/>
      <right style="medium">
        <color theme="0"/>
      </right>
      <top style="thin">
        <color indexed="64"/>
      </top>
      <bottom style="medium">
        <color theme="0"/>
      </bottom>
      <diagonal/>
    </border>
    <border>
      <left/>
      <right style="medium">
        <color theme="0"/>
      </right>
      <top style="thin">
        <color indexed="64"/>
      </top>
      <bottom/>
      <diagonal/>
    </border>
    <border>
      <left/>
      <right style="medium">
        <color theme="0"/>
      </right>
      <top/>
      <bottom/>
      <diagonal/>
    </border>
    <border>
      <left/>
      <right style="thin">
        <color indexed="64"/>
      </right>
      <top/>
      <bottom/>
      <diagonal/>
    </border>
    <border>
      <left/>
      <right style="thin">
        <color indexed="64"/>
      </right>
      <top/>
      <bottom style="medium">
        <color theme="0"/>
      </bottom>
      <diagonal/>
    </border>
    <border>
      <left style="thin">
        <color theme="1"/>
      </left>
      <right style="thin">
        <color auto="1"/>
      </right>
      <top/>
      <bottom style="thin">
        <color theme="1"/>
      </bottom>
      <diagonal/>
    </border>
    <border>
      <left style="thin">
        <color theme="1"/>
      </left>
      <right style="thin">
        <color auto="1"/>
      </right>
      <top style="thin">
        <color theme="1"/>
      </top>
      <bottom style="thin">
        <color theme="1"/>
      </bottom>
      <diagonal/>
    </border>
    <border>
      <left style="thin">
        <color theme="1"/>
      </left>
      <right style="thin">
        <color auto="1"/>
      </right>
      <top/>
      <bottom/>
      <diagonal/>
    </border>
    <border>
      <left/>
      <right style="thin">
        <color auto="1"/>
      </right>
      <top style="thin">
        <color theme="1"/>
      </top>
      <bottom/>
      <diagonal/>
    </border>
    <border>
      <left style="thin">
        <color auto="1"/>
      </left>
      <right/>
      <top/>
      <bottom style="thin">
        <color auto="1"/>
      </bottom>
      <diagonal/>
    </border>
    <border>
      <left style="thin">
        <color indexed="64"/>
      </left>
      <right style="thin">
        <color indexed="64"/>
      </right>
      <top style="thin">
        <color indexed="64"/>
      </top>
      <bottom style="thin">
        <color theme="0" tint="-0.14996795556505021"/>
      </bottom>
      <diagonal/>
    </border>
    <border>
      <left style="thin">
        <color indexed="64"/>
      </left>
      <right style="thin">
        <color indexed="64"/>
      </right>
      <top style="thin">
        <color theme="0" tint="-0.14996795556505021"/>
      </top>
      <bottom style="thin">
        <color theme="0" tint="-0.14996795556505021"/>
      </bottom>
      <diagonal/>
    </border>
    <border>
      <left style="thin">
        <color indexed="64"/>
      </left>
      <right style="thin">
        <color indexed="64"/>
      </right>
      <top style="thin">
        <color theme="0" tint="-0.14996795556505021"/>
      </top>
      <bottom style="thin">
        <color indexed="64"/>
      </bottom>
      <diagonal/>
    </border>
    <border>
      <left/>
      <right style="thin">
        <color indexed="64"/>
      </right>
      <top style="thin">
        <color auto="1"/>
      </top>
      <bottom style="thin">
        <color theme="0" tint="-0.14996795556505021"/>
      </bottom>
      <diagonal/>
    </border>
    <border>
      <left style="thin">
        <color auto="1"/>
      </left>
      <right style="thin">
        <color theme="0" tint="-0.14996795556505021"/>
      </right>
      <top style="thin">
        <color auto="1"/>
      </top>
      <bottom style="thin">
        <color theme="0" tint="-0.14996795556505021"/>
      </bottom>
      <diagonal/>
    </border>
    <border>
      <left style="thin">
        <color theme="0" tint="-0.14996795556505021"/>
      </left>
      <right style="thin">
        <color theme="0" tint="-0.14996795556505021"/>
      </right>
      <top style="thin">
        <color auto="1"/>
      </top>
      <bottom style="thin">
        <color theme="0" tint="-0.14996795556505021"/>
      </bottom>
      <diagonal/>
    </border>
    <border>
      <left style="thin">
        <color theme="0" tint="-0.14996795556505021"/>
      </left>
      <right style="thin">
        <color indexed="64"/>
      </right>
      <top style="thin">
        <color auto="1"/>
      </top>
      <bottom style="thin">
        <color theme="0" tint="-0.14996795556505021"/>
      </bottom>
      <diagonal/>
    </border>
    <border>
      <left style="thin">
        <color auto="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indexed="64"/>
      </right>
      <top style="thin">
        <color theme="0" tint="-0.14996795556505021"/>
      </top>
      <bottom style="thin">
        <color theme="0" tint="-0.14996795556505021"/>
      </bottom>
      <diagonal/>
    </border>
    <border>
      <left style="thin">
        <color auto="1"/>
      </left>
      <right style="thin">
        <color theme="0" tint="-0.14996795556505021"/>
      </right>
      <top style="thin">
        <color theme="0" tint="-0.14996795556505021"/>
      </top>
      <bottom style="thin">
        <color indexed="64"/>
      </bottom>
      <diagonal/>
    </border>
    <border>
      <left style="thin">
        <color theme="0" tint="-0.14996795556505021"/>
      </left>
      <right style="thin">
        <color theme="0" tint="-0.14996795556505021"/>
      </right>
      <top style="thin">
        <color theme="0" tint="-0.14996795556505021"/>
      </top>
      <bottom style="thin">
        <color indexed="64"/>
      </bottom>
      <diagonal/>
    </border>
    <border>
      <left style="thin">
        <color theme="0" tint="-0.14996795556505021"/>
      </left>
      <right style="thin">
        <color indexed="64"/>
      </right>
      <top style="thin">
        <color theme="0" tint="-0.14996795556505021"/>
      </top>
      <bottom style="thin">
        <color indexed="64"/>
      </bottom>
      <diagonal/>
    </border>
    <border>
      <left/>
      <right style="thin">
        <color indexed="64"/>
      </right>
      <top style="thin">
        <color theme="0" tint="-0.14996795556505021"/>
      </top>
      <bottom style="thin">
        <color theme="0" tint="-0.14996795556505021"/>
      </bottom>
      <diagonal/>
    </border>
    <border>
      <left/>
      <right style="thin">
        <color indexed="64"/>
      </right>
      <top style="thin">
        <color theme="0" tint="-0.14996795556505021"/>
      </top>
      <bottom style="thin">
        <color indexed="64"/>
      </bottom>
      <diagonal/>
    </border>
    <border>
      <left style="thin">
        <color indexed="64"/>
      </left>
      <right style="thin">
        <color theme="0" tint="-0.14996795556505021"/>
      </right>
      <top style="thin">
        <color indexed="64"/>
      </top>
      <bottom style="thin">
        <color indexed="64"/>
      </bottom>
      <diagonal/>
    </border>
    <border>
      <left style="thin">
        <color theme="0" tint="-0.14996795556505021"/>
      </left>
      <right style="thin">
        <color theme="0" tint="-0.14996795556505021"/>
      </right>
      <top style="thin">
        <color indexed="64"/>
      </top>
      <bottom style="thin">
        <color indexed="64"/>
      </bottom>
      <diagonal/>
    </border>
    <border>
      <left style="thin">
        <color theme="0" tint="-0.14996795556505021"/>
      </left>
      <right style="thin">
        <color indexed="64"/>
      </right>
      <top style="thin">
        <color indexed="64"/>
      </top>
      <bottom style="thin">
        <color indexed="64"/>
      </bottom>
      <diagonal/>
    </border>
    <border>
      <left style="thin">
        <color auto="1"/>
      </left>
      <right style="thin">
        <color theme="0" tint="-0.14996795556505021"/>
      </right>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style="thin">
        <color indexed="64"/>
      </right>
      <top/>
      <bottom style="thin">
        <color theme="0" tint="-0.14996795556505021"/>
      </bottom>
      <diagonal/>
    </border>
    <border>
      <left style="thin">
        <color theme="0" tint="-0.14996795556505021"/>
      </left>
      <right style="thin">
        <color theme="0" tint="-0.14993743705557422"/>
      </right>
      <top style="thin">
        <color auto="1"/>
      </top>
      <bottom style="thin">
        <color theme="0" tint="-0.14996795556505021"/>
      </bottom>
      <diagonal/>
    </border>
    <border>
      <left style="thin">
        <color theme="0" tint="-0.14996795556505021"/>
      </left>
      <right style="thin">
        <color theme="0" tint="-0.14993743705557422"/>
      </right>
      <top style="thin">
        <color theme="0" tint="-0.14996795556505021"/>
      </top>
      <bottom style="thin">
        <color theme="0" tint="-0.14996795556505021"/>
      </bottom>
      <diagonal/>
    </border>
    <border>
      <left style="thin">
        <color theme="0" tint="-0.14996795556505021"/>
      </left>
      <right style="thin">
        <color theme="0" tint="-0.14993743705557422"/>
      </right>
      <top style="thin">
        <color theme="0" tint="-0.14996795556505021"/>
      </top>
      <bottom style="thin">
        <color indexed="64"/>
      </bottom>
      <diagonal/>
    </border>
  </borders>
  <cellStyleXfs count="24">
    <xf numFmtId="0" fontId="0" fillId="0" borderId="0"/>
    <xf numFmtId="0" fontId="13" fillId="0" borderId="0"/>
    <xf numFmtId="43" fontId="14" fillId="0" borderId="0" applyFont="0" applyFill="0" applyBorder="0" applyAlignment="0" applyProtection="0"/>
    <xf numFmtId="44" fontId="14" fillId="0" borderId="0" applyFont="0" applyFill="0" applyBorder="0" applyAlignment="0" applyProtection="0"/>
    <xf numFmtId="0" fontId="20" fillId="0" borderId="0"/>
    <xf numFmtId="0" fontId="23" fillId="0" borderId="0" applyNumberFormat="0" applyFill="0" applyBorder="0" applyAlignment="0" applyProtection="0"/>
    <xf numFmtId="9" fontId="29" fillId="0" borderId="0" applyFont="0" applyFill="0" applyBorder="0" applyAlignment="0" applyProtection="0"/>
    <xf numFmtId="0" fontId="40" fillId="0" borderId="0"/>
    <xf numFmtId="44" fontId="29" fillId="0" borderId="0" applyFont="0" applyFill="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6" fillId="0" borderId="0"/>
    <xf numFmtId="0" fontId="54" fillId="0" borderId="0"/>
    <xf numFmtId="9" fontId="46" fillId="0" borderId="0" applyFont="0" applyFill="0" applyBorder="0" applyAlignment="0" applyProtection="0"/>
    <xf numFmtId="0" fontId="3" fillId="0" borderId="0"/>
    <xf numFmtId="44" fontId="3" fillId="0" borderId="0" applyFont="0" applyFill="0" applyBorder="0" applyAlignment="0" applyProtection="0"/>
    <xf numFmtId="44" fontId="46" fillId="0" borderId="0" applyFont="0" applyFill="0" applyBorder="0" applyAlignment="0" applyProtection="0"/>
    <xf numFmtId="44" fontId="60"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cellStyleXfs>
  <cellXfs count="572">
    <xf numFmtId="0" fontId="0" fillId="0" borderId="0" xfId="0"/>
    <xf numFmtId="0" fontId="5" fillId="0" borderId="0" xfId="0" applyFont="1"/>
    <xf numFmtId="0" fontId="5" fillId="0" borderId="0" xfId="0" applyFont="1" applyAlignment="1">
      <alignment horizontal="left" indent="1"/>
    </xf>
    <xf numFmtId="164" fontId="5" fillId="0" borderId="0" xfId="0" applyNumberFormat="1" applyFont="1"/>
    <xf numFmtId="0" fontId="6" fillId="2" borderId="0" xfId="0" applyFont="1" applyFill="1"/>
    <xf numFmtId="0" fontId="6" fillId="2" borderId="0" xfId="0" applyFont="1" applyFill="1" applyAlignment="1">
      <alignment horizontal="left"/>
    </xf>
    <xf numFmtId="3" fontId="5" fillId="0" borderId="0" xfId="0" applyNumberFormat="1" applyFont="1"/>
    <xf numFmtId="0" fontId="5" fillId="3" borderId="0" xfId="0" applyFont="1" applyFill="1" applyAlignment="1">
      <alignment horizontal="left" indent="1"/>
    </xf>
    <xf numFmtId="0" fontId="9" fillId="0" borderId="0" xfId="0" applyFont="1"/>
    <xf numFmtId="42" fontId="5" fillId="0" borderId="0" xfId="0" applyNumberFormat="1" applyFont="1"/>
    <xf numFmtId="41" fontId="5" fillId="0" borderId="0" xfId="0" applyNumberFormat="1" applyFont="1"/>
    <xf numFmtId="0" fontId="5" fillId="0" borderId="13" xfId="0" applyFont="1" applyBorder="1"/>
    <xf numFmtId="0" fontId="5" fillId="0" borderId="15" xfId="0" applyFont="1" applyBorder="1"/>
    <xf numFmtId="0" fontId="5" fillId="0" borderId="15" xfId="0" applyFont="1" applyBorder="1" applyAlignment="1">
      <alignment horizontal="left" indent="1"/>
    </xf>
    <xf numFmtId="0" fontId="5" fillId="0" borderId="0" xfId="0" applyFont="1" applyAlignment="1">
      <alignment horizontal="right"/>
    </xf>
    <xf numFmtId="44" fontId="5" fillId="0" borderId="0" xfId="0" applyNumberFormat="1" applyFont="1"/>
    <xf numFmtId="4" fontId="5" fillId="0" borderId="0" xfId="0" applyNumberFormat="1" applyFont="1"/>
    <xf numFmtId="0" fontId="5" fillId="4" borderId="0" xfId="0" applyFont="1" applyFill="1"/>
    <xf numFmtId="49" fontId="5" fillId="0" borderId="0" xfId="0" applyNumberFormat="1" applyFont="1" applyAlignment="1">
      <alignment horizontal="right"/>
    </xf>
    <xf numFmtId="166" fontId="5" fillId="0" borderId="0" xfId="0" applyNumberFormat="1" applyFont="1"/>
    <xf numFmtId="42" fontId="5" fillId="0" borderId="0" xfId="0" applyNumberFormat="1" applyFont="1" applyAlignment="1">
      <alignment horizontal="right"/>
    </xf>
    <xf numFmtId="164" fontId="0" fillId="0" borderId="0" xfId="0" applyNumberFormat="1"/>
    <xf numFmtId="0" fontId="5" fillId="0" borderId="0" xfId="0" applyFont="1" applyAlignment="1">
      <alignment horizontal="center"/>
    </xf>
    <xf numFmtId="164" fontId="5" fillId="0" borderId="0" xfId="0" applyNumberFormat="1" applyFont="1" applyAlignment="1">
      <alignment horizontal="center"/>
    </xf>
    <xf numFmtId="0" fontId="5" fillId="0" borderId="20" xfId="0" applyFont="1" applyBorder="1"/>
    <xf numFmtId="0" fontId="6" fillId="0" borderId="0" xfId="0" applyFont="1"/>
    <xf numFmtId="0" fontId="6" fillId="2" borderId="23" xfId="0" applyFont="1" applyFill="1" applyBorder="1" applyAlignment="1">
      <alignment horizontal="center" vertical="center"/>
    </xf>
    <xf numFmtId="0" fontId="6" fillId="2" borderId="24" xfId="0" applyFont="1" applyFill="1" applyBorder="1" applyAlignment="1">
      <alignment horizontal="center" vertical="center"/>
    </xf>
    <xf numFmtId="0" fontId="6" fillId="2" borderId="22" xfId="0" applyFont="1" applyFill="1" applyBorder="1" applyAlignment="1">
      <alignment horizontal="center" vertical="center"/>
    </xf>
    <xf numFmtId="164" fontId="5" fillId="0" borderId="20" xfId="0" applyNumberFormat="1" applyFont="1" applyBorder="1"/>
    <xf numFmtId="9" fontId="5" fillId="0" borderId="0" xfId="0" applyNumberFormat="1" applyFont="1"/>
    <xf numFmtId="3" fontId="5" fillId="0" borderId="0" xfId="0" applyNumberFormat="1" applyFont="1" applyAlignment="1">
      <alignment horizontal="center"/>
    </xf>
    <xf numFmtId="43" fontId="5" fillId="0" borderId="0" xfId="0" applyNumberFormat="1" applyFont="1"/>
    <xf numFmtId="0" fontId="17" fillId="0" borderId="0" xfId="0" applyFont="1" applyAlignment="1">
      <alignment vertical="center"/>
    </xf>
    <xf numFmtId="0" fontId="16" fillId="0" borderId="0" xfId="0" applyFont="1" applyAlignment="1">
      <alignment horizontal="center" vertical="center"/>
    </xf>
    <xf numFmtId="10" fontId="5" fillId="0" borderId="0" xfId="0" applyNumberFormat="1" applyFont="1"/>
    <xf numFmtId="0" fontId="5" fillId="7" borderId="0" xfId="0" applyFont="1" applyFill="1" applyAlignment="1">
      <alignment horizontal="left" indent="1"/>
    </xf>
    <xf numFmtId="0" fontId="6" fillId="0" borderId="0" xfId="0" applyFont="1" applyAlignment="1">
      <alignment horizontal="center"/>
    </xf>
    <xf numFmtId="165" fontId="5" fillId="0" borderId="0" xfId="0" applyNumberFormat="1" applyFont="1" applyAlignment="1">
      <alignment horizontal="center"/>
    </xf>
    <xf numFmtId="166" fontId="5" fillId="2" borderId="16" xfId="0" applyNumberFormat="1" applyFont="1" applyFill="1" applyBorder="1"/>
    <xf numFmtId="4" fontId="5" fillId="7" borderId="37" xfId="0" applyNumberFormat="1" applyFont="1" applyFill="1" applyBorder="1" applyAlignment="1">
      <alignment horizontal="center"/>
    </xf>
    <xf numFmtId="8" fontId="5" fillId="0" borderId="0" xfId="0" applyNumberFormat="1" applyFont="1"/>
    <xf numFmtId="0" fontId="6" fillId="0" borderId="0" xfId="0" applyFont="1" applyAlignment="1">
      <alignment horizontal="left"/>
    </xf>
    <xf numFmtId="0" fontId="5" fillId="0" borderId="8" xfId="0" applyFont="1" applyBorder="1"/>
    <xf numFmtId="0" fontId="6" fillId="2" borderId="48" xfId="0" applyFont="1" applyFill="1" applyBorder="1" applyAlignment="1">
      <alignment horizontal="center"/>
    </xf>
    <xf numFmtId="0" fontId="6" fillId="2" borderId="49" xfId="0" applyFont="1" applyFill="1" applyBorder="1" applyAlignment="1">
      <alignment horizontal="center"/>
    </xf>
    <xf numFmtId="0" fontId="6" fillId="2" borderId="50" xfId="0" applyFont="1" applyFill="1" applyBorder="1" applyAlignment="1">
      <alignment horizontal="center"/>
    </xf>
    <xf numFmtId="0" fontId="18" fillId="0" borderId="20" xfId="0" applyFont="1" applyBorder="1"/>
    <xf numFmtId="0" fontId="18" fillId="0" borderId="54" xfId="0" applyFont="1" applyBorder="1"/>
    <xf numFmtId="4" fontId="0" fillId="0" borderId="0" xfId="0" applyNumberFormat="1"/>
    <xf numFmtId="4" fontId="6" fillId="0" borderId="0" xfId="0" applyNumberFormat="1" applyFont="1"/>
    <xf numFmtId="0" fontId="6" fillId="9" borderId="18" xfId="0" applyFont="1" applyFill="1" applyBorder="1" applyAlignment="1">
      <alignment horizontal="center"/>
    </xf>
    <xf numFmtId="0" fontId="6" fillId="10" borderId="0" xfId="0" applyFont="1" applyFill="1"/>
    <xf numFmtId="0" fontId="6" fillId="10" borderId="0" xfId="0" applyFont="1" applyFill="1" applyAlignment="1">
      <alignment horizontal="center"/>
    </xf>
    <xf numFmtId="4" fontId="5" fillId="0" borderId="1" xfId="0" applyNumberFormat="1" applyFont="1" applyBorder="1" applyAlignment="1">
      <alignment horizontal="center"/>
    </xf>
    <xf numFmtId="4" fontId="5" fillId="0" borderId="8" xfId="0" applyNumberFormat="1" applyFont="1" applyBorder="1" applyAlignment="1">
      <alignment horizontal="center"/>
    </xf>
    <xf numFmtId="4" fontId="6" fillId="10" borderId="0" xfId="0" applyNumberFormat="1" applyFont="1" applyFill="1" applyAlignment="1">
      <alignment horizontal="center"/>
    </xf>
    <xf numFmtId="4" fontId="5" fillId="0" borderId="57" xfId="0" applyNumberFormat="1" applyFont="1" applyBorder="1" applyAlignment="1">
      <alignment horizontal="center"/>
    </xf>
    <xf numFmtId="4" fontId="5" fillId="0" borderId="58" xfId="0" applyNumberFormat="1" applyFont="1" applyBorder="1" applyAlignment="1">
      <alignment horizontal="center"/>
    </xf>
    <xf numFmtId="0" fontId="5" fillId="7" borderId="0" xfId="0" applyFont="1" applyFill="1" applyAlignment="1">
      <alignment horizontal="left"/>
    </xf>
    <xf numFmtId="0" fontId="12" fillId="0" borderId="0" xfId="4" applyFont="1" applyAlignment="1">
      <alignment horizontal="left" vertical="top"/>
    </xf>
    <xf numFmtId="0" fontId="12" fillId="0" borderId="0" xfId="4" applyFont="1" applyAlignment="1">
      <alignment horizontal="center" vertical="top"/>
    </xf>
    <xf numFmtId="0" fontId="12" fillId="0" borderId="0" xfId="4" applyFont="1" applyAlignment="1">
      <alignment horizontal="right" vertical="top"/>
    </xf>
    <xf numFmtId="3" fontId="12" fillId="0" borderId="0" xfId="4" applyNumberFormat="1" applyFont="1" applyAlignment="1">
      <alignment horizontal="right" vertical="top"/>
    </xf>
    <xf numFmtId="0" fontId="12" fillId="0" borderId="19" xfId="4" applyFont="1" applyBorder="1" applyAlignment="1">
      <alignment horizontal="left" vertical="top"/>
    </xf>
    <xf numFmtId="3" fontId="12" fillId="0" borderId="0" xfId="4" applyNumberFormat="1" applyFont="1" applyAlignment="1">
      <alignment horizontal="left" vertical="top"/>
    </xf>
    <xf numFmtId="3" fontId="12" fillId="0" borderId="0" xfId="4" applyNumberFormat="1" applyFont="1" applyAlignment="1">
      <alignment vertical="top"/>
    </xf>
    <xf numFmtId="9" fontId="12" fillId="0" borderId="0" xfId="4" applyNumberFormat="1" applyFont="1" applyAlignment="1">
      <alignment horizontal="left" vertical="top"/>
    </xf>
    <xf numFmtId="3" fontId="12" fillId="0" borderId="0" xfId="4" applyNumberFormat="1" applyFont="1" applyAlignment="1">
      <alignment horizontal="center" vertical="top"/>
    </xf>
    <xf numFmtId="0" fontId="23" fillId="0" borderId="0" xfId="5" applyFill="1" applyBorder="1" applyAlignment="1">
      <alignment horizontal="left" vertical="top"/>
    </xf>
    <xf numFmtId="9" fontId="5" fillId="0" borderId="14" xfId="0" applyNumberFormat="1" applyFont="1" applyBorder="1"/>
    <xf numFmtId="0" fontId="24" fillId="2" borderId="0" xfId="0" applyFont="1" applyFill="1" applyAlignment="1">
      <alignment horizontal="left"/>
    </xf>
    <xf numFmtId="0" fontId="25" fillId="0" borderId="0" xfId="0" applyFont="1" applyAlignment="1">
      <alignment horizontal="left" indent="1"/>
    </xf>
    <xf numFmtId="164" fontId="25" fillId="0" borderId="0" xfId="0" applyNumberFormat="1" applyFont="1"/>
    <xf numFmtId="0" fontId="25" fillId="0" borderId="0" xfId="0" applyFont="1"/>
    <xf numFmtId="0" fontId="27" fillId="0" borderId="0" xfId="0" applyFont="1"/>
    <xf numFmtId="3" fontId="25" fillId="0" borderId="0" xfId="0" applyNumberFormat="1" applyFont="1"/>
    <xf numFmtId="37" fontId="5" fillId="12" borderId="12" xfId="0" applyNumberFormat="1" applyFont="1" applyFill="1" applyBorder="1"/>
    <xf numFmtId="3" fontId="5" fillId="12" borderId="12" xfId="0" applyNumberFormat="1" applyFont="1" applyFill="1" applyBorder="1"/>
    <xf numFmtId="0" fontId="5" fillId="12" borderId="0" xfId="0" applyFont="1" applyFill="1"/>
    <xf numFmtId="0" fontId="24" fillId="2" borderId="0" xfId="0" applyFont="1" applyFill="1"/>
    <xf numFmtId="164" fontId="25" fillId="2" borderId="0" xfId="0" applyNumberFormat="1" applyFont="1" applyFill="1"/>
    <xf numFmtId="0" fontId="25" fillId="2" borderId="0" xfId="0" applyFont="1" applyFill="1"/>
    <xf numFmtId="164" fontId="25" fillId="3" borderId="0" xfId="0" applyNumberFormat="1" applyFont="1" applyFill="1"/>
    <xf numFmtId="0" fontId="25" fillId="0" borderId="6" xfId="0" applyFont="1" applyBorder="1" applyAlignment="1">
      <alignment horizontal="center"/>
    </xf>
    <xf numFmtId="0" fontId="25" fillId="0" borderId="0" xfId="0" applyFont="1" applyAlignment="1">
      <alignment horizontal="center"/>
    </xf>
    <xf numFmtId="0" fontId="28" fillId="0" borderId="0" xfId="0" applyFont="1"/>
    <xf numFmtId="0" fontId="25" fillId="0" borderId="0" xfId="0" applyFont="1" applyAlignment="1">
      <alignment horizontal="center" vertical="center"/>
    </xf>
    <xf numFmtId="0" fontId="25" fillId="0" borderId="1" xfId="0" applyFont="1" applyBorder="1" applyAlignment="1">
      <alignment horizontal="center"/>
    </xf>
    <xf numFmtId="0" fontId="25" fillId="0" borderId="2" xfId="0" applyFont="1" applyBorder="1" applyAlignment="1">
      <alignment horizontal="center"/>
    </xf>
    <xf numFmtId="0" fontId="25" fillId="0" borderId="8" xfId="0" applyFont="1" applyBorder="1" applyAlignment="1">
      <alignment vertical="center"/>
    </xf>
    <xf numFmtId="0" fontId="25" fillId="0" borderId="8" xfId="0" applyFont="1" applyBorder="1" applyAlignment="1">
      <alignment horizontal="center" vertical="center"/>
    </xf>
    <xf numFmtId="10" fontId="25" fillId="0" borderId="0" xfId="0" applyNumberFormat="1" applyFont="1"/>
    <xf numFmtId="164" fontId="26" fillId="0" borderId="20" xfId="0" applyNumberFormat="1" applyFont="1" applyBorder="1"/>
    <xf numFmtId="9" fontId="5" fillId="0" borderId="0" xfId="6" applyFont="1"/>
    <xf numFmtId="0" fontId="30" fillId="0" borderId="0" xfId="0" applyFont="1"/>
    <xf numFmtId="0" fontId="31" fillId="0" borderId="0" xfId="0" applyFont="1"/>
    <xf numFmtId="165" fontId="12" fillId="0" borderId="0" xfId="4" applyNumberFormat="1" applyFont="1" applyAlignment="1">
      <alignment horizontal="right" vertical="top"/>
    </xf>
    <xf numFmtId="9" fontId="12" fillId="0" borderId="0" xfId="6" applyFont="1" applyAlignment="1">
      <alignment horizontal="left" vertical="top"/>
    </xf>
    <xf numFmtId="4" fontId="5" fillId="0" borderId="56" xfId="0" applyNumberFormat="1" applyFont="1" applyBorder="1" applyAlignment="1">
      <alignment horizontal="center"/>
    </xf>
    <xf numFmtId="3" fontId="12" fillId="0" borderId="19" xfId="4" applyNumberFormat="1" applyFont="1" applyBorder="1" applyAlignment="1">
      <alignment vertical="top"/>
    </xf>
    <xf numFmtId="0" fontId="12" fillId="0" borderId="19" xfId="4" applyFont="1" applyBorder="1" applyAlignment="1">
      <alignment horizontal="right" vertical="top"/>
    </xf>
    <xf numFmtId="4" fontId="5" fillId="7" borderId="0" xfId="0" applyNumberFormat="1" applyFont="1" applyFill="1" applyAlignment="1">
      <alignment horizontal="center"/>
    </xf>
    <xf numFmtId="0" fontId="12" fillId="0" borderId="0" xfId="0" applyFont="1" applyAlignment="1">
      <alignment vertical="center"/>
    </xf>
    <xf numFmtId="4" fontId="26" fillId="8" borderId="39" xfId="0" applyNumberFormat="1" applyFont="1" applyFill="1" applyBorder="1" applyAlignment="1">
      <alignment horizontal="center"/>
    </xf>
    <xf numFmtId="4" fontId="26" fillId="8" borderId="37" xfId="0" applyNumberFormat="1" applyFont="1" applyFill="1" applyBorder="1" applyAlignment="1">
      <alignment horizontal="center"/>
    </xf>
    <xf numFmtId="4" fontId="26" fillId="8" borderId="21" xfId="0" applyNumberFormat="1" applyFont="1" applyFill="1" applyBorder="1" applyAlignment="1">
      <alignment horizontal="center"/>
    </xf>
    <xf numFmtId="4" fontId="26" fillId="13" borderId="37" xfId="0" applyNumberFormat="1" applyFont="1" applyFill="1" applyBorder="1" applyAlignment="1">
      <alignment horizontal="center"/>
    </xf>
    <xf numFmtId="4" fontId="26" fillId="13" borderId="0" xfId="0" applyNumberFormat="1" applyFont="1" applyFill="1" applyAlignment="1">
      <alignment horizontal="center"/>
    </xf>
    <xf numFmtId="4" fontId="26" fillId="8" borderId="0" xfId="0" applyNumberFormat="1" applyFont="1" applyFill="1" applyAlignment="1">
      <alignment horizontal="center"/>
    </xf>
    <xf numFmtId="0" fontId="38" fillId="8" borderId="61" xfId="0" applyFont="1" applyFill="1" applyBorder="1" applyAlignment="1">
      <alignment horizontal="center"/>
    </xf>
    <xf numFmtId="0" fontId="38" fillId="8" borderId="29" xfId="0" applyFont="1" applyFill="1" applyBorder="1" applyAlignment="1">
      <alignment horizontal="center"/>
    </xf>
    <xf numFmtId="0" fontId="38" fillId="8" borderId="41" xfId="0" applyFont="1" applyFill="1" applyBorder="1" applyAlignment="1">
      <alignment horizontal="center"/>
    </xf>
    <xf numFmtId="0" fontId="38" fillId="8" borderId="42" xfId="0" applyFont="1" applyFill="1" applyBorder="1" applyAlignment="1">
      <alignment horizontal="center"/>
    </xf>
    <xf numFmtId="0" fontId="39" fillId="5" borderId="31" xfId="0" applyFont="1" applyFill="1" applyBorder="1" applyAlignment="1">
      <alignment horizontal="center"/>
    </xf>
    <xf numFmtId="0" fontId="39" fillId="5" borderId="34" xfId="0" applyFont="1" applyFill="1" applyBorder="1" applyAlignment="1">
      <alignment horizontal="center"/>
    </xf>
    <xf numFmtId="0" fontId="38" fillId="13" borderId="32" xfId="0" applyFont="1" applyFill="1" applyBorder="1" applyAlignment="1">
      <alignment horizontal="center"/>
    </xf>
    <xf numFmtId="0" fontId="38" fillId="13" borderId="69" xfId="0" applyFont="1" applyFill="1" applyBorder="1" applyAlignment="1">
      <alignment horizontal="center"/>
    </xf>
    <xf numFmtId="0" fontId="38" fillId="13" borderId="70" xfId="0" applyFont="1" applyFill="1" applyBorder="1" applyAlignment="1">
      <alignment horizontal="center"/>
    </xf>
    <xf numFmtId="0" fontId="38" fillId="13" borderId="36" xfId="0" applyFont="1" applyFill="1" applyBorder="1" applyAlignment="1">
      <alignment horizontal="center"/>
    </xf>
    <xf numFmtId="0" fontId="5" fillId="0" borderId="51" xfId="0" applyFont="1" applyBorder="1"/>
    <xf numFmtId="0" fontId="32" fillId="0" borderId="0" xfId="0" applyFont="1"/>
    <xf numFmtId="0" fontId="41" fillId="0" borderId="3" xfId="7" applyFont="1" applyBorder="1" applyAlignment="1">
      <alignment horizontal="left" vertical="center"/>
    </xf>
    <xf numFmtId="0" fontId="42" fillId="0" borderId="0" xfId="1" applyFont="1"/>
    <xf numFmtId="0" fontId="42" fillId="0" borderId="19" xfId="1" applyFont="1" applyBorder="1"/>
    <xf numFmtId="0" fontId="43" fillId="0" borderId="0" xfId="1" applyFont="1"/>
    <xf numFmtId="0" fontId="44" fillId="0" borderId="9" xfId="7" applyFont="1" applyBorder="1" applyAlignment="1">
      <alignment horizontal="center" vertical="center"/>
    </xf>
    <xf numFmtId="0" fontId="44" fillId="0" borderId="8" xfId="7" applyFont="1" applyBorder="1" applyAlignment="1">
      <alignment horizontal="center" vertical="center"/>
    </xf>
    <xf numFmtId="0" fontId="44" fillId="0" borderId="8" xfId="7" applyFont="1" applyBorder="1" applyAlignment="1">
      <alignment vertical="center"/>
    </xf>
    <xf numFmtId="0" fontId="45" fillId="14" borderId="8" xfId="1" applyFont="1" applyFill="1" applyBorder="1" applyAlignment="1">
      <alignment vertical="center"/>
    </xf>
    <xf numFmtId="0" fontId="46" fillId="14" borderId="9" xfId="1" applyFont="1" applyFill="1" applyBorder="1"/>
    <xf numFmtId="0" fontId="46" fillId="14" borderId="8" xfId="1" applyFont="1" applyFill="1" applyBorder="1"/>
    <xf numFmtId="0" fontId="46" fillId="0" borderId="0" xfId="1" applyFont="1"/>
    <xf numFmtId="0" fontId="45" fillId="15" borderId="8" xfId="1" applyFont="1" applyFill="1" applyBorder="1" applyAlignment="1">
      <alignment vertical="center"/>
    </xf>
    <xf numFmtId="0" fontId="46" fillId="15" borderId="9" xfId="1" applyFont="1" applyFill="1" applyBorder="1"/>
    <xf numFmtId="0" fontId="46" fillId="15" borderId="8" xfId="1" applyFont="1" applyFill="1" applyBorder="1"/>
    <xf numFmtId="0" fontId="46" fillId="15" borderId="0" xfId="1" applyFont="1" applyFill="1"/>
    <xf numFmtId="0" fontId="45" fillId="16" borderId="8" xfId="1" applyFont="1" applyFill="1" applyBorder="1" applyAlignment="1">
      <alignment vertical="center"/>
    </xf>
    <xf numFmtId="0" fontId="46" fillId="16" borderId="9" xfId="1" applyFont="1" applyFill="1" applyBorder="1"/>
    <xf numFmtId="0" fontId="46" fillId="16" borderId="8" xfId="1" applyFont="1" applyFill="1" applyBorder="1"/>
    <xf numFmtId="0" fontId="45" fillId="17" borderId="8" xfId="1" applyFont="1" applyFill="1" applyBorder="1" applyAlignment="1">
      <alignment vertical="center"/>
    </xf>
    <xf numFmtId="0" fontId="46" fillId="17" borderId="9" xfId="1" applyFont="1" applyFill="1" applyBorder="1"/>
    <xf numFmtId="0" fontId="46" fillId="17" borderId="8" xfId="1" applyFont="1" applyFill="1" applyBorder="1"/>
    <xf numFmtId="0" fontId="45" fillId="14" borderId="8" xfId="1" applyFont="1" applyFill="1" applyBorder="1"/>
    <xf numFmtId="0" fontId="45" fillId="14" borderId="8" xfId="1" applyFont="1" applyFill="1" applyBorder="1" applyAlignment="1">
      <alignment horizontal="right"/>
    </xf>
    <xf numFmtId="0" fontId="45" fillId="14" borderId="8" xfId="7" applyFont="1" applyFill="1" applyBorder="1" applyAlignment="1">
      <alignment horizontal="right" vertical="center"/>
    </xf>
    <xf numFmtId="0" fontId="45" fillId="14" borderId="8" xfId="7" applyFont="1" applyFill="1" applyBorder="1" applyAlignment="1">
      <alignment vertical="center"/>
    </xf>
    <xf numFmtId="0" fontId="45" fillId="15" borderId="8" xfId="1" applyFont="1" applyFill="1" applyBorder="1"/>
    <xf numFmtId="0" fontId="45" fillId="15" borderId="8" xfId="1" applyFont="1" applyFill="1" applyBorder="1" applyAlignment="1">
      <alignment horizontal="right"/>
    </xf>
    <xf numFmtId="0" fontId="45" fillId="15" borderId="8" xfId="7" applyFont="1" applyFill="1" applyBorder="1" applyAlignment="1">
      <alignment horizontal="right" vertical="center"/>
    </xf>
    <xf numFmtId="0" fontId="45" fillId="15" borderId="8" xfId="7" applyFont="1" applyFill="1" applyBorder="1" applyAlignment="1">
      <alignment vertical="center"/>
    </xf>
    <xf numFmtId="0" fontId="45" fillId="18" borderId="8" xfId="1" applyFont="1" applyFill="1" applyBorder="1" applyAlignment="1">
      <alignment vertical="center"/>
    </xf>
    <xf numFmtId="0" fontId="46" fillId="18" borderId="9" xfId="1" applyFont="1" applyFill="1" applyBorder="1"/>
    <xf numFmtId="0" fontId="46" fillId="18" borderId="8" xfId="1" applyFont="1" applyFill="1" applyBorder="1"/>
    <xf numFmtId="0" fontId="45" fillId="12" borderId="8" xfId="1" applyFont="1" applyFill="1" applyBorder="1" applyAlignment="1">
      <alignment vertical="center"/>
    </xf>
    <xf numFmtId="0" fontId="46" fillId="12" borderId="9" xfId="1" applyFont="1" applyFill="1" applyBorder="1"/>
    <xf numFmtId="0" fontId="46" fillId="12" borderId="8" xfId="1" applyFont="1" applyFill="1" applyBorder="1"/>
    <xf numFmtId="0" fontId="45" fillId="19" borderId="8" xfId="1" applyFont="1" applyFill="1" applyBorder="1" applyAlignment="1">
      <alignment vertical="center"/>
    </xf>
    <xf numFmtId="0" fontId="46" fillId="19" borderId="9" xfId="1" applyFont="1" applyFill="1" applyBorder="1"/>
    <xf numFmtId="0" fontId="46" fillId="19" borderId="8" xfId="1" applyFont="1" applyFill="1" applyBorder="1"/>
    <xf numFmtId="0" fontId="45" fillId="20" borderId="8" xfId="1" applyFont="1" applyFill="1" applyBorder="1" applyAlignment="1">
      <alignment vertical="center"/>
    </xf>
    <xf numFmtId="0" fontId="46" fillId="20" borderId="9" xfId="1" applyFont="1" applyFill="1" applyBorder="1"/>
    <xf numFmtId="0" fontId="46" fillId="20" borderId="8" xfId="1" applyFont="1" applyFill="1" applyBorder="1"/>
    <xf numFmtId="0" fontId="45" fillId="20" borderId="8" xfId="2" applyNumberFormat="1" applyFont="1" applyFill="1" applyBorder="1" applyProtection="1">
      <protection locked="0"/>
    </xf>
    <xf numFmtId="0" fontId="45" fillId="21" borderId="8" xfId="1" applyFont="1" applyFill="1" applyBorder="1"/>
    <xf numFmtId="0" fontId="45" fillId="21" borderId="8" xfId="1" applyFont="1" applyFill="1" applyBorder="1" applyAlignment="1">
      <alignment horizontal="right"/>
    </xf>
    <xf numFmtId="0" fontId="45" fillId="21" borderId="8" xfId="7" applyFont="1" applyFill="1" applyBorder="1" applyAlignment="1">
      <alignment horizontal="right" vertical="center"/>
    </xf>
    <xf numFmtId="0" fontId="45" fillId="21" borderId="8" xfId="7" applyFont="1" applyFill="1" applyBorder="1" applyAlignment="1">
      <alignment vertical="center"/>
    </xf>
    <xf numFmtId="0" fontId="45" fillId="0" borderId="8" xfId="1" applyFont="1" applyBorder="1" applyAlignment="1">
      <alignment vertical="center"/>
    </xf>
    <xf numFmtId="0" fontId="46" fillId="0" borderId="9" xfId="1" applyFont="1" applyBorder="1"/>
    <xf numFmtId="0" fontId="46" fillId="0" borderId="8" xfId="1" applyFont="1" applyBorder="1"/>
    <xf numFmtId="1" fontId="46" fillId="0" borderId="8" xfId="1" applyNumberFormat="1" applyFont="1" applyBorder="1"/>
    <xf numFmtId="0" fontId="45" fillId="0" borderId="8" xfId="1" applyFont="1" applyBorder="1"/>
    <xf numFmtId="0" fontId="45" fillId="0" borderId="8" xfId="1" applyFont="1" applyBorder="1" applyAlignment="1">
      <alignment horizontal="right"/>
    </xf>
    <xf numFmtId="0" fontId="45" fillId="0" borderId="8" xfId="7" applyFont="1" applyBorder="1" applyAlignment="1">
      <alignment horizontal="right" vertical="center"/>
    </xf>
    <xf numFmtId="0" fontId="45" fillId="0" borderId="8" xfId="7" applyFont="1" applyBorder="1" applyAlignment="1">
      <alignment vertical="center"/>
    </xf>
    <xf numFmtId="0" fontId="45" fillId="0" borderId="0" xfId="7" applyFont="1" applyAlignment="1">
      <alignment vertical="center"/>
    </xf>
    <xf numFmtId="0" fontId="46" fillId="4" borderId="0" xfId="1" applyFont="1" applyFill="1"/>
    <xf numFmtId="0" fontId="42" fillId="4" borderId="0" xfId="1" applyFont="1" applyFill="1"/>
    <xf numFmtId="0" fontId="45" fillId="18" borderId="8" xfId="2" applyNumberFormat="1" applyFont="1" applyFill="1" applyBorder="1" applyProtection="1">
      <protection locked="0"/>
    </xf>
    <xf numFmtId="0" fontId="45" fillId="22" borderId="8" xfId="1" applyFont="1" applyFill="1" applyBorder="1" applyAlignment="1">
      <alignment vertical="center"/>
    </xf>
    <xf numFmtId="0" fontId="46" fillId="22" borderId="9" xfId="1" applyFont="1" applyFill="1" applyBorder="1"/>
    <xf numFmtId="0" fontId="46" fillId="22" borderId="8" xfId="1" applyFont="1" applyFill="1" applyBorder="1"/>
    <xf numFmtId="0" fontId="45" fillId="8" borderId="8" xfId="1" applyFont="1" applyFill="1" applyBorder="1" applyAlignment="1">
      <alignment vertical="center"/>
    </xf>
    <xf numFmtId="0" fontId="46" fillId="8" borderId="9" xfId="1" applyFont="1" applyFill="1" applyBorder="1"/>
    <xf numFmtId="0" fontId="46" fillId="8" borderId="8" xfId="1" applyFont="1" applyFill="1" applyBorder="1"/>
    <xf numFmtId="0" fontId="45" fillId="23" borderId="8" xfId="1" applyFont="1" applyFill="1" applyBorder="1" applyAlignment="1">
      <alignment vertical="center"/>
    </xf>
    <xf numFmtId="0" fontId="46" fillId="23" borderId="9" xfId="1" applyFont="1" applyFill="1" applyBorder="1"/>
    <xf numFmtId="0" fontId="46" fillId="23" borderId="8" xfId="1" applyFont="1" applyFill="1" applyBorder="1"/>
    <xf numFmtId="168" fontId="45" fillId="0" borderId="9" xfId="7" applyNumberFormat="1" applyFont="1" applyBorder="1" applyAlignment="1">
      <alignment vertical="center"/>
    </xf>
    <xf numFmtId="169" fontId="45" fillId="0" borderId="0" xfId="2" applyNumberFormat="1" applyFont="1" applyFill="1" applyBorder="1" applyAlignment="1" applyProtection="1">
      <alignment vertical="center"/>
    </xf>
    <xf numFmtId="0" fontId="6" fillId="2" borderId="75" xfId="0" applyFont="1" applyFill="1" applyBorder="1"/>
    <xf numFmtId="7" fontId="5" fillId="0" borderId="0" xfId="8" applyNumberFormat="1" applyFont="1"/>
    <xf numFmtId="164" fontId="5" fillId="0" borderId="0" xfId="8" applyNumberFormat="1" applyFont="1"/>
    <xf numFmtId="7" fontId="5" fillId="0" borderId="0" xfId="0" applyNumberFormat="1" applyFont="1"/>
    <xf numFmtId="0" fontId="18" fillId="0" borderId="0" xfId="0" applyFont="1" applyAlignment="1">
      <alignment horizontal="left"/>
    </xf>
    <xf numFmtId="0" fontId="18" fillId="0" borderId="0" xfId="0" applyFont="1"/>
    <xf numFmtId="41" fontId="18" fillId="0" borderId="0" xfId="0" applyNumberFormat="1" applyFont="1" applyAlignment="1">
      <alignment horizontal="right"/>
    </xf>
    <xf numFmtId="9" fontId="5" fillId="0" borderId="76" xfId="6" applyFont="1" applyBorder="1"/>
    <xf numFmtId="0" fontId="0" fillId="0" borderId="77" xfId="0" applyBorder="1"/>
    <xf numFmtId="37" fontId="5" fillId="0" borderId="12" xfId="0" applyNumberFormat="1" applyFont="1" applyBorder="1"/>
    <xf numFmtId="0" fontId="5" fillId="0" borderId="15" xfId="0" applyFont="1" applyBorder="1" applyAlignment="1">
      <alignment horizontal="right" indent="1"/>
    </xf>
    <xf numFmtId="0" fontId="5" fillId="0" borderId="30" xfId="0" applyFont="1" applyBorder="1" applyAlignment="1">
      <alignment horizontal="left" indent="1"/>
    </xf>
    <xf numFmtId="165" fontId="5" fillId="0" borderId="0" xfId="0" applyNumberFormat="1" applyFont="1"/>
    <xf numFmtId="165" fontId="5" fillId="0" borderId="37" xfId="0" applyNumberFormat="1" applyFont="1" applyBorder="1"/>
    <xf numFmtId="0" fontId="5" fillId="0" borderId="38" xfId="0" applyFont="1" applyBorder="1"/>
    <xf numFmtId="0" fontId="5" fillId="0" borderId="33" xfId="0" applyFont="1" applyBorder="1"/>
    <xf numFmtId="0" fontId="10" fillId="0" borderId="8" xfId="0" applyFont="1" applyBorder="1"/>
    <xf numFmtId="0" fontId="6" fillId="9" borderId="18" xfId="0" applyFont="1" applyFill="1" applyBorder="1"/>
    <xf numFmtId="0" fontId="6" fillId="10" borderId="18" xfId="0" applyFont="1" applyFill="1" applyBorder="1"/>
    <xf numFmtId="0" fontId="5" fillId="0" borderId="18" xfId="0" applyFont="1" applyBorder="1" applyAlignment="1">
      <alignment horizontal="left" indent="1"/>
    </xf>
    <xf numFmtId="0" fontId="6" fillId="9" borderId="19" xfId="0" applyFont="1" applyFill="1" applyBorder="1" applyAlignment="1">
      <alignment horizontal="center"/>
    </xf>
    <xf numFmtId="0" fontId="6" fillId="10" borderId="76" xfId="0" applyFont="1" applyFill="1" applyBorder="1" applyAlignment="1">
      <alignment horizontal="center"/>
    </xf>
    <xf numFmtId="4" fontId="6" fillId="10" borderId="76" xfId="0" applyNumberFormat="1" applyFont="1" applyFill="1" applyBorder="1" applyAlignment="1">
      <alignment horizontal="center"/>
    </xf>
    <xf numFmtId="4" fontId="5" fillId="0" borderId="78" xfId="0" applyNumberFormat="1" applyFont="1" applyBorder="1" applyAlignment="1">
      <alignment horizontal="center"/>
    </xf>
    <xf numFmtId="4" fontId="5" fillId="0" borderId="79" xfId="0" applyNumberFormat="1" applyFont="1" applyBorder="1" applyAlignment="1">
      <alignment horizontal="center"/>
    </xf>
    <xf numFmtId="4" fontId="5" fillId="0" borderId="80" xfId="0" applyNumberFormat="1" applyFont="1" applyBorder="1" applyAlignment="1">
      <alignment horizontal="center"/>
    </xf>
    <xf numFmtId="0" fontId="6" fillId="10" borderId="76" xfId="0" applyFont="1" applyFill="1" applyBorder="1"/>
    <xf numFmtId="0" fontId="5" fillId="12" borderId="1" xfId="0" applyFont="1" applyFill="1" applyBorder="1" applyAlignment="1">
      <alignment horizontal="left" wrapText="1" indent="1"/>
    </xf>
    <xf numFmtId="0" fontId="48" fillId="0" borderId="0" xfId="0" applyFont="1" applyAlignment="1">
      <alignment horizontal="left"/>
    </xf>
    <xf numFmtId="0" fontId="51" fillId="0" borderId="0" xfId="9" applyFont="1"/>
    <xf numFmtId="0" fontId="4" fillId="0" borderId="0" xfId="9"/>
    <xf numFmtId="0" fontId="51" fillId="0" borderId="8" xfId="9" applyFont="1" applyBorder="1" applyAlignment="1">
      <alignment horizontal="left" wrapText="1"/>
    </xf>
    <xf numFmtId="0" fontId="4" fillId="12" borderId="0" xfId="9" applyFill="1"/>
    <xf numFmtId="0" fontId="4" fillId="12" borderId="5" xfId="9" applyFill="1" applyBorder="1"/>
    <xf numFmtId="0" fontId="4" fillId="0" borderId="18" xfId="9" applyBorder="1"/>
    <xf numFmtId="0" fontId="4" fillId="0" borderId="76" xfId="9" applyBorder="1"/>
    <xf numFmtId="44" fontId="0" fillId="0" borderId="19" xfId="10" applyFont="1" applyBorder="1"/>
    <xf numFmtId="44" fontId="4" fillId="0" borderId="19" xfId="9" applyNumberFormat="1" applyBorder="1"/>
    <xf numFmtId="44" fontId="4" fillId="0" borderId="0" xfId="9" applyNumberFormat="1"/>
    <xf numFmtId="0" fontId="4" fillId="12" borderId="82" xfId="9" applyFill="1" applyBorder="1"/>
    <xf numFmtId="0" fontId="4" fillId="12" borderId="17" xfId="9" applyFill="1" applyBorder="1" applyAlignment="1">
      <alignment horizontal="right"/>
    </xf>
    <xf numFmtId="44" fontId="0" fillId="12" borderId="4" xfId="10" applyFont="1" applyFill="1" applyBorder="1"/>
    <xf numFmtId="44" fontId="4" fillId="12" borderId="4" xfId="9" applyNumberFormat="1" applyFill="1" applyBorder="1"/>
    <xf numFmtId="0" fontId="4" fillId="0" borderId="7" xfId="9" applyBorder="1"/>
    <xf numFmtId="0" fontId="4" fillId="0" borderId="6" xfId="9" applyBorder="1" applyAlignment="1">
      <alignment horizontal="right"/>
    </xf>
    <xf numFmtId="44" fontId="0" fillId="0" borderId="6" xfId="10" applyFont="1" applyFill="1" applyBorder="1"/>
    <xf numFmtId="44" fontId="4" fillId="0" borderId="6" xfId="9" applyNumberFormat="1" applyBorder="1"/>
    <xf numFmtId="0" fontId="4" fillId="0" borderId="6" xfId="9" applyBorder="1"/>
    <xf numFmtId="0" fontId="51" fillId="12" borderId="6" xfId="9" applyFont="1" applyFill="1" applyBorder="1" applyAlignment="1">
      <alignment horizontal="left"/>
    </xf>
    <xf numFmtId="0" fontId="4" fillId="12" borderId="6" xfId="9" applyFill="1" applyBorder="1"/>
    <xf numFmtId="44" fontId="4" fillId="12" borderId="82" xfId="9" applyNumberFormat="1" applyFill="1" applyBorder="1"/>
    <xf numFmtId="0" fontId="4" fillId="0" borderId="1" xfId="9" applyBorder="1"/>
    <xf numFmtId="0" fontId="4" fillId="0" borderId="2" xfId="9" applyBorder="1" applyAlignment="1">
      <alignment horizontal="right"/>
    </xf>
    <xf numFmtId="44" fontId="0" fillId="0" borderId="2" xfId="10" applyFont="1" applyFill="1" applyBorder="1"/>
    <xf numFmtId="44" fontId="4" fillId="0" borderId="2" xfId="9" applyNumberFormat="1" applyBorder="1"/>
    <xf numFmtId="0" fontId="4" fillId="0" borderId="2" xfId="9" applyBorder="1"/>
    <xf numFmtId="0" fontId="4" fillId="19" borderId="18" xfId="9" applyFill="1" applyBorder="1"/>
    <xf numFmtId="0" fontId="50" fillId="0" borderId="76" xfId="9" applyFont="1" applyBorder="1" applyAlignment="1">
      <alignment horizontal="right"/>
    </xf>
    <xf numFmtId="44" fontId="50" fillId="0" borderId="0" xfId="9" applyNumberFormat="1" applyFont="1"/>
    <xf numFmtId="0" fontId="4" fillId="0" borderId="0" xfId="9" applyAlignment="1">
      <alignment horizontal="right"/>
    </xf>
    <xf numFmtId="0" fontId="4" fillId="0" borderId="10" xfId="9" applyBorder="1" applyAlignment="1">
      <alignment horizontal="right"/>
    </xf>
    <xf numFmtId="44" fontId="4" fillId="0" borderId="10" xfId="9" applyNumberFormat="1" applyBorder="1"/>
    <xf numFmtId="44" fontId="0" fillId="0" borderId="0" xfId="10" applyFont="1"/>
    <xf numFmtId="0" fontId="52" fillId="8" borderId="0" xfId="9" applyFont="1" applyFill="1" applyAlignment="1">
      <alignment horizontal="right"/>
    </xf>
    <xf numFmtId="44" fontId="52" fillId="8" borderId="0" xfId="9" applyNumberFormat="1" applyFont="1" applyFill="1"/>
    <xf numFmtId="44" fontId="52" fillId="0" borderId="0" xfId="9" applyNumberFormat="1" applyFont="1"/>
    <xf numFmtId="9" fontId="0" fillId="0" borderId="0" xfId="11" applyFont="1"/>
    <xf numFmtId="37" fontId="4" fillId="0" borderId="10" xfId="9" applyNumberFormat="1" applyBorder="1"/>
    <xf numFmtId="0" fontId="4" fillId="0" borderId="10" xfId="9" applyBorder="1"/>
    <xf numFmtId="37" fontId="4" fillId="0" borderId="0" xfId="9" applyNumberFormat="1" applyAlignment="1">
      <alignment horizontal="center"/>
    </xf>
    <xf numFmtId="37" fontId="4" fillId="0" borderId="10" xfId="9" applyNumberFormat="1" applyBorder="1" applyAlignment="1">
      <alignment horizontal="center"/>
    </xf>
    <xf numFmtId="37" fontId="4" fillId="0" borderId="10" xfId="9" applyNumberFormat="1" applyBorder="1" applyAlignment="1">
      <alignment horizontal="left"/>
    </xf>
    <xf numFmtId="3" fontId="4" fillId="0" borderId="2" xfId="9" applyNumberFormat="1" applyBorder="1" applyAlignment="1">
      <alignment horizontal="center"/>
    </xf>
    <xf numFmtId="37" fontId="4" fillId="0" borderId="2" xfId="9" applyNumberFormat="1" applyBorder="1" applyAlignment="1">
      <alignment horizontal="left"/>
    </xf>
    <xf numFmtId="42" fontId="4" fillId="0" borderId="10" xfId="9" applyNumberFormat="1" applyBorder="1"/>
    <xf numFmtId="42" fontId="0" fillId="0" borderId="2" xfId="10" applyNumberFormat="1" applyFont="1" applyBorder="1"/>
    <xf numFmtId="42" fontId="0" fillId="0" borderId="6" xfId="10" applyNumberFormat="1" applyFont="1" applyBorder="1"/>
    <xf numFmtId="0" fontId="49" fillId="24" borderId="0" xfId="9" applyFont="1" applyFill="1" applyAlignment="1">
      <alignment horizontal="center"/>
    </xf>
    <xf numFmtId="44" fontId="4" fillId="25" borderId="0" xfId="9" applyNumberFormat="1" applyFill="1"/>
    <xf numFmtId="0" fontId="50" fillId="0" borderId="0" xfId="9" applyFont="1"/>
    <xf numFmtId="44" fontId="50" fillId="25" borderId="0" xfId="9" applyNumberFormat="1" applyFont="1" applyFill="1"/>
    <xf numFmtId="0" fontId="12" fillId="4" borderId="0" xfId="4" applyFont="1" applyFill="1" applyAlignment="1">
      <alignment horizontal="left" vertical="top"/>
    </xf>
    <xf numFmtId="0" fontId="4" fillId="0" borderId="0" xfId="12"/>
    <xf numFmtId="0" fontId="51" fillId="0" borderId="0" xfId="12" applyFont="1"/>
    <xf numFmtId="2" fontId="4" fillId="0" borderId="0" xfId="12" applyNumberFormat="1"/>
    <xf numFmtId="0" fontId="51" fillId="0" borderId="0" xfId="12" applyFont="1" applyAlignment="1">
      <alignment horizontal="right"/>
    </xf>
    <xf numFmtId="2" fontId="51" fillId="0" borderId="0" xfId="12" applyNumberFormat="1" applyFont="1"/>
    <xf numFmtId="0" fontId="4" fillId="0" borderId="0" xfId="12" applyAlignment="1">
      <alignment horizontal="right"/>
    </xf>
    <xf numFmtId="170" fontId="51" fillId="0" borderId="10" xfId="9" applyNumberFormat="1" applyFont="1" applyBorder="1" applyAlignment="1">
      <alignment horizontal="center"/>
    </xf>
    <xf numFmtId="0" fontId="51" fillId="0" borderId="0" xfId="9" applyFont="1" applyAlignment="1">
      <alignment horizontal="right"/>
    </xf>
    <xf numFmtId="44" fontId="52" fillId="0" borderId="0" xfId="10" applyFont="1" applyAlignment="1">
      <alignment horizontal="center"/>
    </xf>
    <xf numFmtId="0" fontId="46" fillId="0" borderId="0" xfId="13"/>
    <xf numFmtId="0" fontId="55" fillId="0" borderId="0" xfId="14" applyFont="1"/>
    <xf numFmtId="0" fontId="56" fillId="0" borderId="0" xfId="14" applyFont="1"/>
    <xf numFmtId="10" fontId="56" fillId="0" borderId="0" xfId="15" applyNumberFormat="1" applyFont="1"/>
    <xf numFmtId="0" fontId="54" fillId="0" borderId="0" xfId="14"/>
    <xf numFmtId="0" fontId="56" fillId="0" borderId="0" xfId="13" applyFont="1"/>
    <xf numFmtId="0" fontId="57" fillId="0" borderId="0" xfId="14" applyFont="1"/>
    <xf numFmtId="0" fontId="44" fillId="0" borderId="0" xfId="14" applyFont="1" applyAlignment="1">
      <alignment horizontal="left"/>
    </xf>
    <xf numFmtId="0" fontId="54" fillId="0" borderId="76" xfId="14" applyBorder="1"/>
    <xf numFmtId="0" fontId="45" fillId="0" borderId="0" xfId="14" applyFont="1" applyAlignment="1">
      <alignment horizontal="left"/>
    </xf>
    <xf numFmtId="0" fontId="46" fillId="0" borderId="76" xfId="14" applyFont="1" applyBorder="1"/>
    <xf numFmtId="0" fontId="45" fillId="0" borderId="18" xfId="14" applyFont="1" applyBorder="1" applyAlignment="1">
      <alignment horizontal="center"/>
    </xf>
    <xf numFmtId="10" fontId="46" fillId="0" borderId="76" xfId="15" applyNumberFormat="1" applyFont="1" applyBorder="1" applyAlignment="1">
      <alignment horizontal="center"/>
    </xf>
    <xf numFmtId="0" fontId="46" fillId="0" borderId="76" xfId="13" applyBorder="1" applyAlignment="1">
      <alignment horizontal="center"/>
    </xf>
    <xf numFmtId="0" fontId="45" fillId="0" borderId="0" xfId="14" applyFont="1" applyAlignment="1">
      <alignment horizontal="center"/>
    </xf>
    <xf numFmtId="0" fontId="46" fillId="0" borderId="0" xfId="13" applyAlignment="1">
      <alignment horizontal="center"/>
    </xf>
    <xf numFmtId="0" fontId="46" fillId="0" borderId="17" xfId="14" applyFont="1" applyBorder="1"/>
    <xf numFmtId="0" fontId="46" fillId="0" borderId="82" xfId="13" applyBorder="1" applyAlignment="1">
      <alignment horizontal="center"/>
    </xf>
    <xf numFmtId="10" fontId="46" fillId="0" borderId="17" xfId="15" applyNumberFormat="1" applyFont="1" applyBorder="1" applyAlignment="1">
      <alignment horizontal="center"/>
    </xf>
    <xf numFmtId="0" fontId="46" fillId="0" borderId="17" xfId="13" applyBorder="1" applyAlignment="1">
      <alignment horizontal="center"/>
    </xf>
    <xf numFmtId="171" fontId="54" fillId="0" borderId="0" xfId="14" applyNumberFormat="1"/>
    <xf numFmtId="10" fontId="0" fillId="0" borderId="0" xfId="15" applyNumberFormat="1" applyFont="1"/>
    <xf numFmtId="10" fontId="0" fillId="0" borderId="0" xfId="15" applyNumberFormat="1" applyFont="1" applyFill="1"/>
    <xf numFmtId="10" fontId="0" fillId="0" borderId="0" xfId="15" applyNumberFormat="1" applyFont="1" applyFill="1" applyBorder="1"/>
    <xf numFmtId="171" fontId="54" fillId="26" borderId="0" xfId="14" applyNumberFormat="1" applyFill="1"/>
    <xf numFmtId="10" fontId="0" fillId="26" borderId="0" xfId="15" applyNumberFormat="1" applyFont="1" applyFill="1"/>
    <xf numFmtId="0" fontId="3" fillId="0" borderId="0" xfId="16"/>
    <xf numFmtId="44" fontId="3" fillId="0" borderId="0" xfId="16" applyNumberFormat="1"/>
    <xf numFmtId="0" fontId="59" fillId="0" borderId="0" xfId="16" applyFont="1"/>
    <xf numFmtId="164" fontId="3" fillId="0" borderId="0" xfId="16" applyNumberFormat="1"/>
    <xf numFmtId="0" fontId="46" fillId="0" borderId="0" xfId="13" applyAlignment="1">
      <alignment wrapText="1"/>
    </xf>
    <xf numFmtId="42" fontId="46" fillId="0" borderId="0" xfId="13" applyNumberFormat="1"/>
    <xf numFmtId="42" fontId="5" fillId="0" borderId="0" xfId="8" applyNumberFormat="1" applyFont="1" applyAlignment="1"/>
    <xf numFmtId="10" fontId="3" fillId="0" borderId="0" xfId="16" applyNumberFormat="1"/>
    <xf numFmtId="9" fontId="3" fillId="0" borderId="0" xfId="16" applyNumberFormat="1"/>
    <xf numFmtId="0" fontId="26" fillId="0" borderId="0" xfId="13" applyFont="1"/>
    <xf numFmtId="3" fontId="5" fillId="0" borderId="0" xfId="8" applyNumberFormat="1" applyFont="1" applyAlignment="1"/>
    <xf numFmtId="3" fontId="5" fillId="0" borderId="0" xfId="8" applyNumberFormat="1" applyFont="1"/>
    <xf numFmtId="0" fontId="5" fillId="0" borderId="84" xfId="13" applyFont="1" applyBorder="1" applyAlignment="1">
      <alignment horizontal="left"/>
    </xf>
    <xf numFmtId="42" fontId="5" fillId="0" borderId="84" xfId="13" applyNumberFormat="1" applyFont="1" applyBorder="1" applyAlignment="1">
      <alignment horizontal="center"/>
    </xf>
    <xf numFmtId="42" fontId="5" fillId="0" borderId="84" xfId="18" applyNumberFormat="1" applyFont="1" applyBorder="1" applyAlignment="1">
      <alignment horizontal="center"/>
    </xf>
    <xf numFmtId="0" fontId="26" fillId="0" borderId="84" xfId="13" applyFont="1" applyBorder="1"/>
    <xf numFmtId="42" fontId="5" fillId="0" borderId="84" xfId="18" applyNumberFormat="1" applyFont="1" applyBorder="1"/>
    <xf numFmtId="0" fontId="18" fillId="27" borderId="85" xfId="13" applyFont="1" applyFill="1" applyBorder="1" applyAlignment="1">
      <alignment horizontal="right"/>
    </xf>
    <xf numFmtId="42" fontId="18" fillId="27" borderId="85" xfId="18" applyNumberFormat="1" applyFont="1" applyFill="1" applyBorder="1"/>
    <xf numFmtId="0" fontId="5" fillId="0" borderId="90" xfId="16" applyFont="1" applyBorder="1"/>
    <xf numFmtId="0" fontId="5" fillId="0" borderId="91" xfId="16" applyFont="1" applyBorder="1" applyAlignment="1">
      <alignment horizontal="center"/>
    </xf>
    <xf numFmtId="0" fontId="5" fillId="0" borderId="92" xfId="16" applyFont="1" applyBorder="1" applyAlignment="1">
      <alignment horizontal="center"/>
    </xf>
    <xf numFmtId="172" fontId="5" fillId="0" borderId="91" xfId="17" applyNumberFormat="1" applyFont="1" applyBorder="1" applyAlignment="1">
      <alignment horizontal="center"/>
    </xf>
    <xf numFmtId="172" fontId="5" fillId="0" borderId="92" xfId="17" applyNumberFormat="1" applyFont="1" applyBorder="1" applyAlignment="1">
      <alignment horizontal="center"/>
    </xf>
    <xf numFmtId="0" fontId="5" fillId="27" borderId="93" xfId="16" applyFont="1" applyFill="1" applyBorder="1"/>
    <xf numFmtId="42" fontId="26" fillId="27" borderId="94" xfId="16" applyNumberFormat="1" applyFont="1" applyFill="1" applyBorder="1" applyAlignment="1">
      <alignment horizontal="center"/>
    </xf>
    <xf numFmtId="42" fontId="26" fillId="27" borderId="95" xfId="16" applyNumberFormat="1" applyFont="1" applyFill="1" applyBorder="1" applyAlignment="1">
      <alignment horizontal="center"/>
    </xf>
    <xf numFmtId="0" fontId="12" fillId="0" borderId="90" xfId="4" applyFont="1" applyBorder="1" applyAlignment="1">
      <alignment horizontal="left"/>
    </xf>
    <xf numFmtId="0" fontId="12" fillId="0" borderId="91" xfId="4" applyFont="1" applyBorder="1" applyAlignment="1">
      <alignment horizontal="left"/>
    </xf>
    <xf numFmtId="0" fontId="12" fillId="0" borderId="91" xfId="4" applyFont="1" applyBorder="1" applyAlignment="1">
      <alignment horizontal="right"/>
    </xf>
    <xf numFmtId="3" fontId="12" fillId="0" borderId="91" xfId="4" applyNumberFormat="1" applyFont="1" applyBorder="1" applyAlignment="1">
      <alignment horizontal="right"/>
    </xf>
    <xf numFmtId="3" fontId="12" fillId="0" borderId="92" xfId="4" applyNumberFormat="1" applyFont="1" applyBorder="1" applyAlignment="1">
      <alignment horizontal="right"/>
    </xf>
    <xf numFmtId="3" fontId="12" fillId="4" borderId="91" xfId="4" applyNumberFormat="1" applyFont="1" applyFill="1" applyBorder="1" applyAlignment="1">
      <alignment horizontal="right"/>
    </xf>
    <xf numFmtId="9" fontId="12" fillId="0" borderId="92" xfId="4" applyNumberFormat="1" applyFont="1" applyBorder="1" applyAlignment="1">
      <alignment horizontal="right"/>
    </xf>
    <xf numFmtId="0" fontId="12" fillId="27" borderId="93" xfId="4" applyFont="1" applyFill="1" applyBorder="1" applyAlignment="1">
      <alignment horizontal="right"/>
    </xf>
    <xf numFmtId="3" fontId="12" fillId="27" borderId="95" xfId="4" applyNumberFormat="1" applyFont="1" applyFill="1" applyBorder="1" applyAlignment="1">
      <alignment horizontal="right"/>
    </xf>
    <xf numFmtId="0" fontId="12" fillId="27" borderId="93" xfId="4" applyFont="1" applyFill="1" applyBorder="1" applyAlignment="1">
      <alignment horizontal="right" vertical="top"/>
    </xf>
    <xf numFmtId="0" fontId="34" fillId="27" borderId="87" xfId="0" applyFont="1" applyFill="1" applyBorder="1"/>
    <xf numFmtId="0" fontId="35" fillId="0" borderId="93" xfId="0" applyFont="1" applyBorder="1"/>
    <xf numFmtId="3" fontId="12" fillId="0" borderId="94" xfId="4" applyNumberFormat="1" applyFont="1" applyBorder="1" applyAlignment="1">
      <alignment horizontal="right" vertical="top"/>
    </xf>
    <xf numFmtId="3" fontId="12" fillId="0" borderId="95" xfId="4" applyNumberFormat="1" applyFont="1" applyBorder="1" applyAlignment="1">
      <alignment horizontal="right" vertical="top"/>
    </xf>
    <xf numFmtId="0" fontId="33" fillId="27" borderId="87" xfId="0" applyFont="1" applyFill="1" applyBorder="1"/>
    <xf numFmtId="0" fontId="12" fillId="27" borderId="88" xfId="4" applyFont="1" applyFill="1" applyBorder="1" applyAlignment="1">
      <alignment horizontal="left"/>
    </xf>
    <xf numFmtId="0" fontId="12" fillId="0" borderId="90" xfId="0" applyFont="1" applyBorder="1"/>
    <xf numFmtId="0" fontId="12" fillId="27" borderId="94" xfId="4" applyFont="1" applyFill="1" applyBorder="1" applyAlignment="1">
      <alignment horizontal="left"/>
    </xf>
    <xf numFmtId="0" fontId="12" fillId="27" borderId="86" xfId="4" applyFont="1" applyFill="1" applyBorder="1" applyAlignment="1">
      <alignment horizontal="left"/>
    </xf>
    <xf numFmtId="0" fontId="12" fillId="0" borderId="96" xfId="4" applyFont="1" applyBorder="1" applyAlignment="1">
      <alignment horizontal="left"/>
    </xf>
    <xf numFmtId="0" fontId="12" fillId="27" borderId="97" xfId="4" applyFont="1" applyFill="1" applyBorder="1" applyAlignment="1">
      <alignment horizontal="left"/>
    </xf>
    <xf numFmtId="0" fontId="12" fillId="27" borderId="88" xfId="4" applyFont="1" applyFill="1" applyBorder="1" applyAlignment="1">
      <alignment horizontal="center" vertical="top"/>
    </xf>
    <xf numFmtId="0" fontId="12" fillId="27" borderId="89" xfId="4" applyFont="1" applyFill="1" applyBorder="1" applyAlignment="1">
      <alignment horizontal="center" vertical="top"/>
    </xf>
    <xf numFmtId="0" fontId="12" fillId="27" borderId="99" xfId="4" applyFont="1" applyFill="1" applyBorder="1" applyAlignment="1">
      <alignment horizontal="left" vertical="top" wrapText="1"/>
    </xf>
    <xf numFmtId="3" fontId="12" fillId="27" borderId="94" xfId="4" applyNumberFormat="1" applyFont="1" applyFill="1" applyBorder="1" applyAlignment="1">
      <alignment horizontal="right" vertical="top"/>
    </xf>
    <xf numFmtId="3" fontId="12" fillId="27" borderId="95" xfId="4" applyNumberFormat="1" applyFont="1" applyFill="1" applyBorder="1" applyAlignment="1">
      <alignment horizontal="right" vertical="top"/>
    </xf>
    <xf numFmtId="0" fontId="12" fillId="27" borderId="90" xfId="4" applyFont="1" applyFill="1" applyBorder="1" applyAlignment="1">
      <alignment horizontal="right"/>
    </xf>
    <xf numFmtId="0" fontId="12" fillId="0" borderId="101" xfId="4" applyFont="1" applyBorder="1" applyAlignment="1">
      <alignment horizontal="left" vertical="top"/>
    </xf>
    <xf numFmtId="0" fontId="12" fillId="0" borderId="102" xfId="4" applyFont="1" applyBorder="1" applyAlignment="1">
      <alignment horizontal="left" vertical="top"/>
    </xf>
    <xf numFmtId="0" fontId="12" fillId="27" borderId="98" xfId="4" applyFont="1" applyFill="1" applyBorder="1" applyAlignment="1">
      <alignment horizontal="left"/>
    </xf>
    <xf numFmtId="0" fontId="12" fillId="0" borderId="87" xfId="4" applyFont="1" applyBorder="1" applyAlignment="1">
      <alignment horizontal="left"/>
    </xf>
    <xf numFmtId="0" fontId="12" fillId="0" borderId="88" xfId="4" applyFont="1" applyBorder="1" applyAlignment="1">
      <alignment horizontal="right"/>
    </xf>
    <xf numFmtId="0" fontId="5" fillId="0" borderId="88" xfId="4" applyFont="1" applyBorder="1" applyAlignment="1">
      <alignment horizontal="right"/>
    </xf>
    <xf numFmtId="0" fontId="5" fillId="0" borderId="89" xfId="4" applyFont="1" applyBorder="1" applyAlignment="1">
      <alignment horizontal="right"/>
    </xf>
    <xf numFmtId="0" fontId="47" fillId="0" borderId="90" xfId="4" applyFont="1" applyBorder="1" applyAlignment="1">
      <alignment horizontal="left"/>
    </xf>
    <xf numFmtId="3" fontId="47" fillId="0" borderId="91" xfId="4" applyNumberFormat="1" applyFont="1" applyBorder="1" applyAlignment="1">
      <alignment horizontal="right"/>
    </xf>
    <xf numFmtId="3" fontId="47" fillId="0" borderId="92" xfId="4" applyNumberFormat="1" applyFont="1" applyBorder="1" applyAlignment="1">
      <alignment horizontal="right"/>
    </xf>
    <xf numFmtId="3" fontId="12" fillId="27" borderId="91" xfId="4" applyNumberFormat="1" applyFont="1" applyFill="1" applyBorder="1" applyAlignment="1">
      <alignment horizontal="right"/>
    </xf>
    <xf numFmtId="3" fontId="47" fillId="27" borderId="91" xfId="4" applyNumberFormat="1" applyFont="1" applyFill="1" applyBorder="1" applyAlignment="1">
      <alignment horizontal="right"/>
    </xf>
    <xf numFmtId="3" fontId="47" fillId="27" borderId="92" xfId="4" applyNumberFormat="1" applyFont="1" applyFill="1" applyBorder="1" applyAlignment="1">
      <alignment horizontal="right"/>
    </xf>
    <xf numFmtId="5" fontId="12" fillId="0" borderId="91" xfId="4" applyNumberFormat="1" applyFont="1" applyBorder="1" applyAlignment="1">
      <alignment horizontal="right"/>
    </xf>
    <xf numFmtId="0" fontId="12" fillId="0" borderId="93" xfId="4" applyFont="1" applyBorder="1" applyAlignment="1">
      <alignment horizontal="left"/>
    </xf>
    <xf numFmtId="0" fontId="12" fillId="0" borderId="94" xfId="4" applyFont="1" applyBorder="1" applyAlignment="1">
      <alignment horizontal="left"/>
    </xf>
    <xf numFmtId="0" fontId="62" fillId="0" borderId="8" xfId="13" applyFont="1" applyBorder="1" applyAlignment="1">
      <alignment wrapText="1"/>
    </xf>
    <xf numFmtId="42" fontId="63" fillId="0" borderId="8" xfId="18" applyNumberFormat="1" applyFont="1" applyFill="1" applyBorder="1" applyAlignment="1">
      <alignment horizontal="center"/>
    </xf>
    <xf numFmtId="42" fontId="63" fillId="0" borderId="8" xfId="18" applyNumberFormat="1" applyFont="1" applyBorder="1" applyAlignment="1">
      <alignment horizontal="center"/>
    </xf>
    <xf numFmtId="0" fontId="62" fillId="27" borderId="8" xfId="13" applyFont="1" applyFill="1" applyBorder="1" applyAlignment="1">
      <alignment wrapText="1"/>
    </xf>
    <xf numFmtId="42" fontId="62" fillId="27" borderId="8" xfId="18" applyNumberFormat="1" applyFont="1" applyFill="1" applyBorder="1" applyAlignment="1">
      <alignment horizontal="center"/>
    </xf>
    <xf numFmtId="42" fontId="62" fillId="0" borderId="8" xfId="18" applyNumberFormat="1" applyFont="1" applyBorder="1" applyAlignment="1">
      <alignment horizontal="center"/>
    </xf>
    <xf numFmtId="42" fontId="62" fillId="0" borderId="8" xfId="13" applyNumberFormat="1" applyFont="1" applyBorder="1"/>
    <xf numFmtId="0" fontId="65" fillId="27" borderId="8" xfId="13" applyFont="1" applyFill="1" applyBorder="1" applyAlignment="1">
      <alignment horizontal="right" wrapText="1"/>
    </xf>
    <xf numFmtId="42" fontId="65" fillId="27" borderId="8" xfId="13" applyNumberFormat="1" applyFont="1" applyFill="1" applyBorder="1"/>
    <xf numFmtId="0" fontId="62" fillId="0" borderId="8" xfId="13" applyFont="1" applyBorder="1" applyAlignment="1">
      <alignment horizontal="center"/>
    </xf>
    <xf numFmtId="42" fontId="67" fillId="0" borderId="8" xfId="19" applyNumberFormat="1" applyFont="1" applyBorder="1"/>
    <xf numFmtId="0" fontId="63" fillId="0" borderId="90" xfId="16" applyFont="1" applyBorder="1"/>
    <xf numFmtId="0" fontId="63" fillId="0" borderId="91" xfId="16" applyFont="1" applyBorder="1" applyAlignment="1">
      <alignment horizontal="center"/>
    </xf>
    <xf numFmtId="0" fontId="63" fillId="0" borderId="91" xfId="16" applyFont="1" applyBorder="1" applyAlignment="1">
      <alignment wrapText="1"/>
    </xf>
    <xf numFmtId="0" fontId="63" fillId="0" borderId="91" xfId="16" applyFont="1" applyBorder="1"/>
    <xf numFmtId="0" fontId="63" fillId="0" borderId="92" xfId="16" applyFont="1" applyBorder="1" applyAlignment="1">
      <alignment wrapText="1"/>
    </xf>
    <xf numFmtId="42" fontId="63" fillId="0" borderId="91" xfId="17" applyNumberFormat="1" applyFont="1" applyFill="1" applyBorder="1"/>
    <xf numFmtId="9" fontId="63" fillId="0" borderId="91" xfId="20" applyFont="1" applyBorder="1"/>
    <xf numFmtId="37" fontId="63" fillId="0" borderId="91" xfId="17" applyNumberFormat="1" applyFont="1" applyBorder="1"/>
    <xf numFmtId="10" fontId="63" fillId="0" borderId="92" xfId="20" applyNumberFormat="1" applyFont="1" applyBorder="1"/>
    <xf numFmtId="42" fontId="63" fillId="0" borderId="91" xfId="17" applyNumberFormat="1" applyFont="1" applyBorder="1"/>
    <xf numFmtId="0" fontId="61" fillId="27" borderId="93" xfId="16" applyFont="1" applyFill="1" applyBorder="1"/>
    <xf numFmtId="42" fontId="61" fillId="27" borderId="94" xfId="17" applyNumberFormat="1" applyFont="1" applyFill="1" applyBorder="1"/>
    <xf numFmtId="10" fontId="61" fillId="27" borderId="94" xfId="17" applyNumberFormat="1" applyFont="1" applyFill="1" applyBorder="1"/>
    <xf numFmtId="9" fontId="61" fillId="27" borderId="95" xfId="16" applyNumberFormat="1" applyFont="1" applyFill="1" applyBorder="1"/>
    <xf numFmtId="0" fontId="63" fillId="0" borderId="8" xfId="16" applyFont="1" applyBorder="1"/>
    <xf numFmtId="0" fontId="63" fillId="0" borderId="8" xfId="16" applyFont="1" applyBorder="1" applyAlignment="1">
      <alignment horizontal="center"/>
    </xf>
    <xf numFmtId="0" fontId="63" fillId="0" borderId="8" xfId="16" applyFont="1" applyBorder="1" applyAlignment="1">
      <alignment horizontal="left" wrapText="1"/>
    </xf>
    <xf numFmtId="165" fontId="63" fillId="0" borderId="8" xfId="17" applyNumberFormat="1" applyFont="1" applyBorder="1"/>
    <xf numFmtId="165" fontId="63" fillId="0" borderId="8" xfId="16" applyNumberFormat="1" applyFont="1" applyBorder="1"/>
    <xf numFmtId="172" fontId="63" fillId="0" borderId="8" xfId="17" applyNumberFormat="1" applyFont="1" applyBorder="1"/>
    <xf numFmtId="0" fontId="12" fillId="27" borderId="104" xfId="4" applyFont="1" applyFill="1" applyBorder="1" applyAlignment="1">
      <alignment horizontal="left"/>
    </xf>
    <xf numFmtId="3" fontId="12" fillId="0" borderId="105" xfId="4" applyNumberFormat="1" applyFont="1" applyBorder="1" applyAlignment="1">
      <alignment horizontal="right"/>
    </xf>
    <xf numFmtId="3" fontId="12" fillId="27" borderId="106" xfId="4" applyNumberFormat="1" applyFont="1" applyFill="1" applyBorder="1"/>
    <xf numFmtId="0" fontId="2" fillId="0" borderId="6" xfId="21" applyBorder="1"/>
    <xf numFmtId="0" fontId="2" fillId="0" borderId="5" xfId="21" applyBorder="1"/>
    <xf numFmtId="0" fontId="2" fillId="0" borderId="0" xfId="21"/>
    <xf numFmtId="0" fontId="2" fillId="0" borderId="10" xfId="21" applyBorder="1"/>
    <xf numFmtId="0" fontId="2" fillId="0" borderId="17" xfId="21" applyBorder="1"/>
    <xf numFmtId="0" fontId="2" fillId="0" borderId="8" xfId="21" applyBorder="1" applyAlignment="1">
      <alignment horizontal="left"/>
    </xf>
    <xf numFmtId="0" fontId="2" fillId="0" borderId="9" xfId="21" applyBorder="1" applyAlignment="1">
      <alignment horizontal="center"/>
    </xf>
    <xf numFmtId="0" fontId="2" fillId="0" borderId="8" xfId="21" applyBorder="1" applyAlignment="1">
      <alignment horizontal="center"/>
    </xf>
    <xf numFmtId="0" fontId="2" fillId="0" borderId="8" xfId="21" applyBorder="1"/>
    <xf numFmtId="44" fontId="0" fillId="0" borderId="17" xfId="22" applyFont="1" applyBorder="1"/>
    <xf numFmtId="44" fontId="0" fillId="0" borderId="8" xfId="22" applyFont="1" applyBorder="1"/>
    <xf numFmtId="9" fontId="0" fillId="0" borderId="8" xfId="23" applyFont="1" applyBorder="1"/>
    <xf numFmtId="44" fontId="0" fillId="0" borderId="9" xfId="22" applyFont="1" applyBorder="1"/>
    <xf numFmtId="0" fontId="2" fillId="0" borderId="8" xfId="21" applyBorder="1" applyAlignment="1">
      <alignment horizontal="right"/>
    </xf>
    <xf numFmtId="44" fontId="0" fillId="0" borderId="8" xfId="22" applyFont="1" applyFill="1" applyBorder="1"/>
    <xf numFmtId="9" fontId="0" fillId="0" borderId="0" xfId="23" applyFont="1"/>
    <xf numFmtId="0" fontId="2" fillId="0" borderId="0" xfId="21" applyAlignment="1">
      <alignment horizontal="center"/>
    </xf>
    <xf numFmtId="44" fontId="0" fillId="0" borderId="0" xfId="23" applyNumberFormat="1" applyFont="1"/>
    <xf numFmtId="0" fontId="2" fillId="0" borderId="0" xfId="21" applyAlignment="1">
      <alignment horizontal="right"/>
    </xf>
    <xf numFmtId="9" fontId="2" fillId="0" borderId="0" xfId="21" applyNumberFormat="1"/>
    <xf numFmtId="0" fontId="69" fillId="0" borderId="0" xfId="21" applyFont="1" applyAlignment="1">
      <alignment horizontal="left"/>
    </xf>
    <xf numFmtId="0" fontId="70" fillId="0" borderId="0" xfId="21" applyFont="1" applyAlignment="1">
      <alignment horizontal="left"/>
    </xf>
    <xf numFmtId="0" fontId="15" fillId="0" borderId="0" xfId="0" applyFont="1"/>
    <xf numFmtId="0" fontId="58" fillId="0" borderId="18" xfId="16" applyFont="1" applyBorder="1" applyAlignment="1">
      <alignment horizontal="center"/>
    </xf>
    <xf numFmtId="9" fontId="5" fillId="0" borderId="5" xfId="6" applyFont="1" applyBorder="1"/>
    <xf numFmtId="42" fontId="5" fillId="0" borderId="52" xfId="8" applyNumberFormat="1" applyFont="1" applyBorder="1"/>
    <xf numFmtId="42" fontId="5" fillId="0" borderId="53" xfId="8" applyNumberFormat="1" applyFont="1" applyBorder="1"/>
    <xf numFmtId="42" fontId="5" fillId="0" borderId="11" xfId="8" applyNumberFormat="1" applyFont="1" applyBorder="1"/>
    <xf numFmtId="42" fontId="18" fillId="0" borderId="52" xfId="8" applyNumberFormat="1" applyFont="1" applyBorder="1"/>
    <xf numFmtId="42" fontId="18" fillId="0" borderId="11" xfId="8" applyNumberFormat="1" applyFont="1" applyBorder="1"/>
    <xf numFmtId="42" fontId="18" fillId="0" borderId="0" xfId="8" applyNumberFormat="1" applyFont="1"/>
    <xf numFmtId="42" fontId="18" fillId="0" borderId="55" xfId="8" applyNumberFormat="1" applyFont="1" applyBorder="1"/>
    <xf numFmtId="0" fontId="1" fillId="0" borderId="0" xfId="9" applyFont="1"/>
    <xf numFmtId="44" fontId="1" fillId="0" borderId="0" xfId="9" applyNumberFormat="1" applyFont="1"/>
    <xf numFmtId="44" fontId="4" fillId="12" borderId="0" xfId="9" applyNumberFormat="1" applyFill="1"/>
    <xf numFmtId="44" fontId="4" fillId="12" borderId="19" xfId="9" applyNumberFormat="1" applyFill="1" applyBorder="1"/>
    <xf numFmtId="44" fontId="4" fillId="12" borderId="17" xfId="9" applyNumberFormat="1" applyFill="1" applyBorder="1"/>
    <xf numFmtId="0" fontId="51" fillId="12" borderId="5" xfId="9" applyFont="1" applyFill="1" applyBorder="1" applyAlignment="1">
      <alignment horizontal="left"/>
    </xf>
    <xf numFmtId="44" fontId="4" fillId="0" borderId="76" xfId="9" applyNumberFormat="1" applyBorder="1"/>
    <xf numFmtId="44" fontId="50" fillId="0" borderId="6" xfId="9" applyNumberFormat="1" applyFont="1" applyBorder="1"/>
    <xf numFmtId="44" fontId="51" fillId="0" borderId="0" xfId="9" applyNumberFormat="1" applyFont="1"/>
    <xf numFmtId="44" fontId="51" fillId="8" borderId="0" xfId="9" applyNumberFormat="1" applyFont="1" applyFill="1"/>
    <xf numFmtId="0" fontId="50" fillId="12" borderId="0" xfId="9" applyFont="1" applyFill="1"/>
    <xf numFmtId="3" fontId="12" fillId="0" borderId="94" xfId="4" applyNumberFormat="1" applyFont="1" applyBorder="1" applyAlignment="1">
      <alignment horizontal="right"/>
    </xf>
    <xf numFmtId="3" fontId="12" fillId="0" borderId="102" xfId="4" applyNumberFormat="1" applyFont="1" applyBorder="1" applyAlignment="1">
      <alignment horizontal="right" vertical="top"/>
    </xf>
    <xf numFmtId="3" fontId="12" fillId="0" borderId="103" xfId="4" applyNumberFormat="1" applyFont="1" applyBorder="1" applyAlignment="1">
      <alignment horizontal="right" vertical="top"/>
    </xf>
    <xf numFmtId="167" fontId="12" fillId="0" borderId="0" xfId="4" applyNumberFormat="1" applyFont="1" applyAlignment="1">
      <alignment horizontal="right" vertical="top"/>
    </xf>
    <xf numFmtId="166" fontId="12" fillId="0" borderId="0" xfId="4" applyNumberFormat="1" applyFont="1" applyAlignment="1">
      <alignment horizontal="right" vertical="top"/>
    </xf>
    <xf numFmtId="3" fontId="12" fillId="0" borderId="105" xfId="4" applyNumberFormat="1" applyFont="1" applyBorder="1"/>
    <xf numFmtId="0" fontId="12" fillId="0" borderId="92" xfId="4" applyFont="1" applyBorder="1" applyAlignment="1">
      <alignment horizontal="center" wrapText="1"/>
    </xf>
    <xf numFmtId="0" fontId="12" fillId="0" borderId="90" xfId="4" applyFont="1" applyBorder="1" applyAlignment="1">
      <alignment horizontal="right"/>
    </xf>
    <xf numFmtId="0" fontId="12" fillId="0" borderId="91" xfId="4" applyFont="1" applyBorder="1" applyAlignment="1">
      <alignment horizontal="right"/>
    </xf>
    <xf numFmtId="0" fontId="12" fillId="27" borderId="93" xfId="4" applyFont="1" applyFill="1" applyBorder="1" applyAlignment="1">
      <alignment horizontal="right"/>
    </xf>
    <xf numFmtId="0" fontId="12" fillId="27" borderId="94" xfId="4" applyFont="1" applyFill="1" applyBorder="1" applyAlignment="1">
      <alignment horizontal="right"/>
    </xf>
    <xf numFmtId="0" fontId="12" fillId="27" borderId="99" xfId="4" applyFont="1" applyFill="1" applyBorder="1" applyAlignment="1">
      <alignment horizontal="center"/>
    </xf>
    <xf numFmtId="0" fontId="12" fillId="27" borderId="100" xfId="4" applyFont="1" applyFill="1" applyBorder="1" applyAlignment="1">
      <alignment horizontal="center"/>
    </xf>
    <xf numFmtId="0" fontId="12" fillId="0" borderId="91" xfId="4" applyFont="1" applyBorder="1" applyAlignment="1">
      <alignment horizontal="center"/>
    </xf>
    <xf numFmtId="0" fontId="12" fillId="27" borderId="87" xfId="4" applyFont="1" applyFill="1" applyBorder="1" applyAlignment="1">
      <alignment horizontal="center"/>
    </xf>
    <xf numFmtId="0" fontId="12" fillId="27" borderId="88" xfId="4" applyFont="1" applyFill="1" applyBorder="1" applyAlignment="1">
      <alignment horizontal="center"/>
    </xf>
    <xf numFmtId="0" fontId="12" fillId="27" borderId="89" xfId="4" applyFont="1" applyFill="1" applyBorder="1" applyAlignment="1">
      <alignment horizontal="center"/>
    </xf>
    <xf numFmtId="0" fontId="10" fillId="0" borderId="1" xfId="0" applyFont="1" applyBorder="1" applyAlignment="1">
      <alignment horizontal="center"/>
    </xf>
    <xf numFmtId="0" fontId="10" fillId="0" borderId="2" xfId="0" applyFont="1" applyBorder="1" applyAlignment="1">
      <alignment horizontal="center"/>
    </xf>
    <xf numFmtId="0" fontId="10" fillId="0" borderId="9" xfId="0" applyFont="1" applyBorder="1" applyAlignment="1">
      <alignment horizontal="center"/>
    </xf>
    <xf numFmtId="0" fontId="5" fillId="0" borderId="0" xfId="0" applyFont="1" applyAlignment="1">
      <alignment horizontal="left"/>
    </xf>
    <xf numFmtId="2" fontId="26" fillId="12" borderId="1" xfId="0" applyNumberFormat="1" applyFont="1" applyFill="1" applyBorder="1" applyAlignment="1">
      <alignment horizontal="center"/>
    </xf>
    <xf numFmtId="2" fontId="26" fillId="12" borderId="2" xfId="0" applyNumberFormat="1" applyFont="1" applyFill="1" applyBorder="1" applyAlignment="1">
      <alignment horizontal="center"/>
    </xf>
    <xf numFmtId="2" fontId="26" fillId="12" borderId="9" xfId="0" applyNumberFormat="1" applyFont="1" applyFill="1" applyBorder="1" applyAlignment="1">
      <alignment horizontal="center"/>
    </xf>
    <xf numFmtId="0" fontId="6" fillId="11" borderId="0" xfId="0" applyFont="1" applyFill="1" applyAlignment="1">
      <alignment horizontal="center"/>
    </xf>
    <xf numFmtId="0" fontId="6" fillId="11" borderId="76" xfId="0" applyFont="1" applyFill="1" applyBorder="1" applyAlignment="1">
      <alignment horizontal="center"/>
    </xf>
    <xf numFmtId="4" fontId="5" fillId="0" borderId="59" xfId="0" applyNumberFormat="1" applyFont="1" applyBorder="1" applyAlignment="1">
      <alignment horizontal="center"/>
    </xf>
    <xf numFmtId="4" fontId="5" fillId="0" borderId="60" xfId="0" applyNumberFormat="1" applyFont="1" applyBorder="1" applyAlignment="1">
      <alignment horizontal="center"/>
    </xf>
    <xf numFmtId="0" fontId="6" fillId="11" borderId="18" xfId="0" applyFont="1" applyFill="1" applyBorder="1" applyAlignment="1">
      <alignment horizontal="center"/>
    </xf>
    <xf numFmtId="4" fontId="5" fillId="0" borderId="81" xfId="0" applyNumberFormat="1" applyFont="1" applyBorder="1" applyAlignment="1">
      <alignment horizontal="center"/>
    </xf>
    <xf numFmtId="0" fontId="37" fillId="0" borderId="0" xfId="0" applyFont="1" applyAlignment="1">
      <alignment horizontal="left"/>
    </xf>
    <xf numFmtId="0" fontId="37" fillId="0" borderId="7" xfId="0" applyFont="1" applyBorder="1" applyAlignment="1">
      <alignment horizontal="center"/>
    </xf>
    <xf numFmtId="0" fontId="37" fillId="0" borderId="6" xfId="0" applyFont="1" applyBorder="1" applyAlignment="1">
      <alignment horizontal="center"/>
    </xf>
    <xf numFmtId="0" fontId="37" fillId="0" borderId="5" xfId="0" applyFont="1" applyBorder="1" applyAlignment="1">
      <alignment horizontal="center"/>
    </xf>
    <xf numFmtId="0" fontId="38" fillId="6" borderId="0" xfId="0" applyFont="1" applyFill="1" applyAlignment="1">
      <alignment horizontal="left"/>
    </xf>
    <xf numFmtId="0" fontId="18" fillId="6" borderId="0" xfId="0" applyFont="1" applyFill="1" applyAlignment="1">
      <alignment horizontal="left"/>
    </xf>
    <xf numFmtId="4" fontId="26" fillId="13" borderId="0" xfId="0" applyNumberFormat="1" applyFont="1" applyFill="1" applyAlignment="1">
      <alignment horizontal="center"/>
    </xf>
    <xf numFmtId="4" fontId="26" fillId="13" borderId="39" xfId="0" applyNumberFormat="1" applyFont="1" applyFill="1" applyBorder="1" applyAlignment="1">
      <alignment horizontal="center"/>
    </xf>
    <xf numFmtId="4" fontId="26" fillId="13" borderId="37" xfId="0" applyNumberFormat="1" applyFont="1" applyFill="1" applyBorder="1" applyAlignment="1">
      <alignment horizontal="center"/>
    </xf>
    <xf numFmtId="1" fontId="5" fillId="0" borderId="62" xfId="0" applyNumberFormat="1" applyFont="1" applyBorder="1" applyAlignment="1">
      <alignment horizontal="center"/>
    </xf>
    <xf numFmtId="1" fontId="5" fillId="0" borderId="63" xfId="0" applyNumberFormat="1" applyFont="1" applyBorder="1" applyAlignment="1">
      <alignment horizontal="center"/>
    </xf>
    <xf numFmtId="0" fontId="5" fillId="0" borderId="64" xfId="0" applyFont="1" applyBorder="1" applyAlignment="1">
      <alignment horizontal="center"/>
    </xf>
    <xf numFmtId="0" fontId="5" fillId="0" borderId="65" xfId="0" applyFont="1" applyBorder="1" applyAlignment="1">
      <alignment horizontal="center"/>
    </xf>
    <xf numFmtId="0" fontId="39" fillId="5" borderId="28" xfId="0" applyFont="1" applyFill="1" applyBorder="1" applyAlignment="1">
      <alignment horizontal="center" vertical="center"/>
    </xf>
    <xf numFmtId="0" fontId="38" fillId="13" borderId="29" xfId="0" applyFont="1" applyFill="1" applyBorder="1" applyAlignment="1">
      <alignment horizontal="center"/>
    </xf>
    <xf numFmtId="0" fontId="38" fillId="13" borderId="66" xfId="0" applyFont="1" applyFill="1" applyBorder="1" applyAlignment="1">
      <alignment horizontal="center"/>
    </xf>
    <xf numFmtId="0" fontId="38" fillId="13" borderId="67" xfId="0" applyFont="1" applyFill="1" applyBorder="1" applyAlignment="1">
      <alignment horizontal="center"/>
    </xf>
    <xf numFmtId="0" fontId="36" fillId="0" borderId="0" xfId="0" applyFont="1" applyAlignment="1">
      <alignment horizontal="left"/>
    </xf>
    <xf numFmtId="0" fontId="38" fillId="8" borderId="46" xfId="0" applyFont="1" applyFill="1" applyBorder="1" applyAlignment="1">
      <alignment horizontal="center"/>
    </xf>
    <xf numFmtId="0" fontId="38" fillId="8" borderId="45" xfId="0" applyFont="1" applyFill="1" applyBorder="1" applyAlignment="1">
      <alignment horizontal="center"/>
    </xf>
    <xf numFmtId="0" fontId="38" fillId="8" borderId="43" xfId="0" applyFont="1" applyFill="1" applyBorder="1" applyAlignment="1">
      <alignment horizontal="center"/>
    </xf>
    <xf numFmtId="0" fontId="38" fillId="13" borderId="28" xfId="0" applyFont="1" applyFill="1" applyBorder="1" applyAlignment="1">
      <alignment horizontal="center" vertical="center"/>
    </xf>
    <xf numFmtId="0" fontId="38" fillId="13" borderId="68" xfId="0" applyFont="1" applyFill="1" applyBorder="1" applyAlignment="1">
      <alignment horizontal="center" vertical="center"/>
    </xf>
    <xf numFmtId="0" fontId="38" fillId="13" borderId="35" xfId="0" applyFont="1" applyFill="1" applyBorder="1" applyAlignment="1">
      <alignment horizontal="center"/>
    </xf>
    <xf numFmtId="0" fontId="38" fillId="13" borderId="32" xfId="0" applyFont="1" applyFill="1" applyBorder="1" applyAlignment="1">
      <alignment horizontal="center"/>
    </xf>
    <xf numFmtId="0" fontId="38" fillId="8" borderId="40" xfId="0" applyFont="1" applyFill="1" applyBorder="1" applyAlignment="1">
      <alignment horizontal="center"/>
    </xf>
    <xf numFmtId="0" fontId="38" fillId="8" borderId="47" xfId="0" applyFont="1" applyFill="1" applyBorder="1" applyAlignment="1">
      <alignment horizontal="center"/>
    </xf>
    <xf numFmtId="0" fontId="38" fillId="8" borderId="44" xfId="0" applyFont="1" applyFill="1" applyBorder="1" applyAlignment="1">
      <alignment horizontal="center"/>
    </xf>
    <xf numFmtId="0" fontId="5" fillId="0" borderId="0" xfId="0" applyFont="1" applyAlignment="1">
      <alignment horizontal="center"/>
    </xf>
    <xf numFmtId="0" fontId="25" fillId="0" borderId="1" xfId="0" applyFont="1" applyBorder="1" applyAlignment="1">
      <alignment horizontal="center"/>
    </xf>
    <xf numFmtId="0" fontId="25" fillId="0" borderId="2" xfId="0" applyFont="1" applyBorder="1" applyAlignment="1">
      <alignment horizontal="center"/>
    </xf>
    <xf numFmtId="0" fontId="25" fillId="0" borderId="9" xfId="0" applyFont="1" applyBorder="1" applyAlignment="1">
      <alignment horizontal="center"/>
    </xf>
    <xf numFmtId="0" fontId="25" fillId="0" borderId="1" xfId="0" applyFont="1" applyBorder="1" applyAlignment="1">
      <alignment horizontal="center" vertical="center"/>
    </xf>
    <xf numFmtId="0" fontId="25" fillId="0" borderId="9" xfId="0" applyFont="1" applyBorder="1" applyAlignment="1">
      <alignment horizontal="center" vertical="center"/>
    </xf>
    <xf numFmtId="0" fontId="25" fillId="0" borderId="3" xfId="0" applyFont="1" applyBorder="1" applyAlignment="1">
      <alignment horizontal="center" vertical="center"/>
    </xf>
    <xf numFmtId="0" fontId="25" fillId="0" borderId="4" xfId="0" applyFont="1" applyBorder="1" applyAlignment="1">
      <alignment horizontal="center" vertical="center"/>
    </xf>
    <xf numFmtId="164" fontId="5" fillId="0" borderId="8" xfId="0" applyNumberFormat="1" applyFont="1" applyBorder="1" applyAlignment="1">
      <alignment horizontal="center" wrapText="1"/>
    </xf>
    <xf numFmtId="164" fontId="5" fillId="0" borderId="1" xfId="0" applyNumberFormat="1" applyFont="1" applyBorder="1" applyAlignment="1">
      <alignment horizontal="center"/>
    </xf>
    <xf numFmtId="164" fontId="5" fillId="0" borderId="9" xfId="0" applyNumberFormat="1" applyFont="1" applyBorder="1" applyAlignment="1">
      <alignment horizontal="center"/>
    </xf>
    <xf numFmtId="164" fontId="5" fillId="0" borderId="8" xfId="0" applyNumberFormat="1" applyFont="1" applyBorder="1" applyAlignment="1">
      <alignment horizontal="center"/>
    </xf>
    <xf numFmtId="0" fontId="39" fillId="0" borderId="71" xfId="0" applyFont="1" applyBorder="1" applyAlignment="1">
      <alignment horizontal="center"/>
    </xf>
    <xf numFmtId="0" fontId="39" fillId="0" borderId="72" xfId="0" applyFont="1" applyBorder="1" applyAlignment="1">
      <alignment horizontal="center"/>
    </xf>
    <xf numFmtId="0" fontId="39" fillId="0" borderId="73" xfId="0" applyFont="1" applyBorder="1" applyAlignment="1">
      <alignment horizontal="center"/>
    </xf>
    <xf numFmtId="0" fontId="39" fillId="0" borderId="74" xfId="0" applyFont="1" applyBorder="1" applyAlignment="1">
      <alignment horizontal="center"/>
    </xf>
    <xf numFmtId="0" fontId="6" fillId="2" borderId="25" xfId="0" applyFont="1" applyFill="1" applyBorder="1" applyAlignment="1">
      <alignment horizontal="center"/>
    </xf>
    <xf numFmtId="0" fontId="6" fillId="2" borderId="26" xfId="0" applyFont="1" applyFill="1" applyBorder="1" applyAlignment="1">
      <alignment horizontal="center"/>
    </xf>
    <xf numFmtId="0" fontId="6" fillId="2" borderId="27" xfId="0" applyFont="1" applyFill="1" applyBorder="1" applyAlignment="1">
      <alignment horizontal="center"/>
    </xf>
    <xf numFmtId="0" fontId="6" fillId="2" borderId="25"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26" xfId="0" applyFont="1" applyFill="1" applyBorder="1" applyAlignment="1">
      <alignment horizontal="center" vertical="center" wrapText="1"/>
    </xf>
    <xf numFmtId="0" fontId="5" fillId="0" borderId="15" xfId="0" applyFont="1" applyBorder="1" applyAlignment="1">
      <alignment horizontal="left"/>
    </xf>
    <xf numFmtId="0" fontId="5" fillId="0" borderId="15" xfId="0" applyFont="1" applyBorder="1" applyAlignment="1">
      <alignment horizontal="right"/>
    </xf>
    <xf numFmtId="0" fontId="5" fillId="0" borderId="0" xfId="0" applyFont="1" applyAlignment="1">
      <alignment horizontal="right"/>
    </xf>
    <xf numFmtId="0" fontId="2" fillId="0" borderId="0" xfId="21" applyAlignment="1">
      <alignment horizontal="left"/>
    </xf>
    <xf numFmtId="0" fontId="2" fillId="0" borderId="0" xfId="21" applyAlignment="1">
      <alignment horizontal="center"/>
    </xf>
    <xf numFmtId="0" fontId="2" fillId="0" borderId="7" xfId="21" applyBorder="1" applyAlignment="1">
      <alignment horizontal="left"/>
    </xf>
    <xf numFmtId="0" fontId="2" fillId="0" borderId="6" xfId="21" applyBorder="1" applyAlignment="1">
      <alignment horizontal="left"/>
    </xf>
    <xf numFmtId="0" fontId="2" fillId="0" borderId="82" xfId="21" applyBorder="1" applyAlignment="1">
      <alignment horizontal="left"/>
    </xf>
    <xf numFmtId="0" fontId="2" fillId="0" borderId="10" xfId="21" applyBorder="1" applyAlignment="1">
      <alignment horizontal="left"/>
    </xf>
    <xf numFmtId="0" fontId="2" fillId="0" borderId="8" xfId="21" applyBorder="1" applyAlignment="1">
      <alignment horizontal="left"/>
    </xf>
    <xf numFmtId="0" fontId="4" fillId="0" borderId="0" xfId="9" applyAlignment="1">
      <alignment horizontal="right"/>
    </xf>
    <xf numFmtId="0" fontId="1" fillId="0" borderId="0" xfId="9" applyFont="1" applyAlignment="1">
      <alignment horizontal="left"/>
    </xf>
    <xf numFmtId="0" fontId="4" fillId="0" borderId="0" xfId="9" applyAlignment="1">
      <alignment horizontal="left"/>
    </xf>
    <xf numFmtId="0" fontId="49" fillId="11" borderId="0" xfId="9" applyFont="1" applyFill="1" applyAlignment="1">
      <alignment horizontal="left"/>
    </xf>
    <xf numFmtId="0" fontId="51" fillId="12" borderId="18" xfId="9" applyFont="1" applyFill="1" applyBorder="1" applyAlignment="1">
      <alignment horizontal="left"/>
    </xf>
    <xf numFmtId="0" fontId="51" fillId="12" borderId="0" xfId="9" applyFont="1" applyFill="1" applyAlignment="1">
      <alignment horizontal="left"/>
    </xf>
    <xf numFmtId="0" fontId="51" fillId="12" borderId="6" xfId="9" applyFont="1" applyFill="1" applyBorder="1" applyAlignment="1">
      <alignment horizontal="left"/>
    </xf>
    <xf numFmtId="0" fontId="51" fillId="12" borderId="7" xfId="9" applyFont="1" applyFill="1" applyBorder="1" applyAlignment="1">
      <alignment horizontal="left"/>
    </xf>
    <xf numFmtId="0" fontId="53" fillId="0" borderId="0" xfId="12" applyFont="1" applyAlignment="1">
      <alignment horizontal="left"/>
    </xf>
    <xf numFmtId="0" fontId="56" fillId="0" borderId="18" xfId="14" applyFont="1" applyBorder="1" applyAlignment="1">
      <alignment horizontal="center"/>
    </xf>
    <xf numFmtId="0" fontId="56" fillId="0" borderId="76" xfId="14" applyFont="1" applyBorder="1" applyAlignment="1">
      <alignment horizontal="center"/>
    </xf>
    <xf numFmtId="0" fontId="61" fillId="27" borderId="8" xfId="13" applyFont="1" applyFill="1" applyBorder="1" applyAlignment="1">
      <alignment horizontal="center"/>
    </xf>
    <xf numFmtId="0" fontId="61" fillId="27" borderId="1" xfId="13" applyFont="1" applyFill="1" applyBorder="1" applyAlignment="1">
      <alignment horizontal="center"/>
    </xf>
    <xf numFmtId="0" fontId="61" fillId="27" borderId="9" xfId="13" applyFont="1" applyFill="1" applyBorder="1" applyAlignment="1">
      <alignment horizontal="center"/>
    </xf>
    <xf numFmtId="0" fontId="66" fillId="27" borderId="1" xfId="13" applyFont="1" applyFill="1" applyBorder="1" applyAlignment="1">
      <alignment horizontal="center"/>
    </xf>
    <xf numFmtId="0" fontId="66" fillId="27" borderId="9" xfId="13" applyFont="1" applyFill="1" applyBorder="1" applyAlignment="1">
      <alignment horizontal="center"/>
    </xf>
    <xf numFmtId="0" fontId="56" fillId="27" borderId="87" xfId="16" applyFont="1" applyFill="1" applyBorder="1" applyAlignment="1">
      <alignment horizontal="center"/>
    </xf>
    <xf numFmtId="0" fontId="56" fillId="27" borderId="88" xfId="16" applyFont="1" applyFill="1" applyBorder="1" applyAlignment="1">
      <alignment horizontal="center"/>
    </xf>
    <xf numFmtId="0" fontId="56" fillId="27" borderId="89" xfId="16" applyFont="1" applyFill="1" applyBorder="1" applyAlignment="1">
      <alignment horizontal="center"/>
    </xf>
    <xf numFmtId="0" fontId="61" fillId="27" borderId="8" xfId="16" applyFont="1" applyFill="1" applyBorder="1" applyAlignment="1">
      <alignment horizontal="center"/>
    </xf>
    <xf numFmtId="0" fontId="61" fillId="27" borderId="1" xfId="16" applyFont="1" applyFill="1" applyBorder="1" applyAlignment="1">
      <alignment horizontal="center"/>
    </xf>
    <xf numFmtId="0" fontId="61" fillId="27" borderId="2" xfId="16" applyFont="1" applyFill="1" applyBorder="1" applyAlignment="1">
      <alignment horizontal="center"/>
    </xf>
    <xf numFmtId="0" fontId="61" fillId="27" borderId="9" xfId="16" applyFont="1" applyFill="1" applyBorder="1" applyAlignment="1">
      <alignment horizontal="center"/>
    </xf>
    <xf numFmtId="0" fontId="18" fillId="27" borderId="87" xfId="16" applyFont="1" applyFill="1" applyBorder="1" applyAlignment="1">
      <alignment horizontal="center"/>
    </xf>
    <xf numFmtId="0" fontId="5" fillId="27" borderId="88" xfId="16" applyFont="1" applyFill="1" applyBorder="1" applyAlignment="1">
      <alignment horizontal="center"/>
    </xf>
    <xf numFmtId="0" fontId="5" fillId="27" borderId="89" xfId="16" applyFont="1" applyFill="1" applyBorder="1" applyAlignment="1">
      <alignment horizontal="center"/>
    </xf>
    <xf numFmtId="0" fontId="18" fillId="27" borderId="83" xfId="13" applyFont="1" applyFill="1" applyBorder="1" applyAlignment="1">
      <alignment horizontal="center"/>
    </xf>
  </cellXfs>
  <cellStyles count="24">
    <cellStyle name="Comma 2" xfId="2" xr:uid="{5519D43C-0C15-D247-BCEC-CB93DD5E74F3}"/>
    <cellStyle name="Currency" xfId="8" builtinId="4"/>
    <cellStyle name="Currency 2" xfId="3" xr:uid="{CA9FAF33-D9DF-0444-8B59-B8AA251C845B}"/>
    <cellStyle name="Currency 3" xfId="10" xr:uid="{C0FC9F7D-F6B9-4945-8CB1-65DBADBFD8C8}"/>
    <cellStyle name="Currency 3 2" xfId="19" xr:uid="{035E0340-4CBE-4E8A-ACE1-0AB884D1176F}"/>
    <cellStyle name="Currency 4" xfId="17" xr:uid="{F02C8C9C-51E9-4F49-AB60-ACED77DCF08D}"/>
    <cellStyle name="Currency 5" xfId="18" xr:uid="{50A25FFD-7363-4E95-8368-3348471EDB0B}"/>
    <cellStyle name="Currency 6" xfId="22" xr:uid="{48054BB3-1F34-433F-8156-B747F4519520}"/>
    <cellStyle name="Hyperlink" xfId="5" builtinId="8"/>
    <cellStyle name="Normal" xfId="0" builtinId="0"/>
    <cellStyle name="Normal 2" xfId="1" xr:uid="{70B4FE2F-69B7-2E4F-86D7-9B7EA2A0A299}"/>
    <cellStyle name="Normal 2 2" xfId="13" xr:uid="{D8218F56-5DE9-4E83-95E3-A86F866FE09A}"/>
    <cellStyle name="Normal 3" xfId="4" xr:uid="{420AEF38-C727-6E48-9743-80F5C665724E}"/>
    <cellStyle name="Normal 4" xfId="9" xr:uid="{056F44A9-0A9C-4295-9619-2224920CB2E6}"/>
    <cellStyle name="Normal 5" xfId="14" xr:uid="{3AD94AD2-E02E-45DF-8C74-0A932D876EED}"/>
    <cellStyle name="Normal 6" xfId="16" xr:uid="{05C9AA86-D5B3-4F97-815B-06BC71F31BDE}"/>
    <cellStyle name="Normal 7" xfId="12" xr:uid="{99233C44-58A1-4918-8122-8F38A04BDE64}"/>
    <cellStyle name="Normal 8" xfId="21" xr:uid="{D50009C4-6FA7-4718-81EC-90BD5BAF96D8}"/>
    <cellStyle name="Normal_Ferry Sales" xfId="7" xr:uid="{382270D9-B57B-466D-BDBE-2E3C554DAB5E}"/>
    <cellStyle name="Percent" xfId="6" builtinId="5"/>
    <cellStyle name="Percent 2" xfId="11" xr:uid="{484ABE68-C02A-4B8F-942B-E769E374649A}"/>
    <cellStyle name="Percent 3" xfId="15" xr:uid="{B00F5BB7-DDEE-4435-8E6D-F60948085E53}"/>
    <cellStyle name="Percent 4" xfId="20" xr:uid="{5B8BC36F-758B-4663-977E-01E18282738A}"/>
    <cellStyle name="Percent 5" xfId="23" xr:uid="{AE51FE02-2A25-4193-8906-78194994F357}"/>
  </cellStyles>
  <dxfs count="0"/>
  <tableStyles count="0" defaultTableStyle="TableStyleMedium2" defaultPivotStyle="PivotStyleLight16"/>
  <colors>
    <mruColors>
      <color rgb="FFD4DDFF"/>
      <color rgb="FFFFC5C7"/>
      <color rgb="FFFF5D7A"/>
      <color rgb="FFA1BDFF"/>
      <color rgb="FFBBBEFF"/>
      <color rgb="FF3D83C2"/>
      <color rgb="FFFFE2F8"/>
      <color rgb="FFFFF9E0"/>
      <color rgb="FFFF9E5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2025</a:t>
            </a:r>
            <a:r>
              <a:rPr lang="en-US" baseline="0"/>
              <a:t> Expenditures</a:t>
            </a:r>
            <a:endParaRPr lang="en-US"/>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manualLayout>
          <c:layoutTarget val="inner"/>
          <c:xMode val="edge"/>
          <c:yMode val="edge"/>
          <c:x val="7.1980609455875921E-2"/>
          <c:y val="0.24507828124217285"/>
          <c:w val="0.33913620156322238"/>
          <c:h val="0.65654584478689626"/>
        </c:manualLayout>
      </c:layout>
      <c:doughnut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5EA3-45E1-9BE2-25335BA672E5}"/>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5EA3-45E1-9BE2-25335BA672E5}"/>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5EA3-45E1-9BE2-25335BA672E5}"/>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7-5EA3-45E1-9BE2-25335BA672E5}"/>
              </c:ext>
            </c:extLst>
          </c:dPt>
          <c:dPt>
            <c:idx val="4"/>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9-5EA3-45E1-9BE2-25335BA672E5}"/>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[1]Expenditures!$B$35:$B$39</c:f>
              <c:strCache>
                <c:ptCount val="5"/>
                <c:pt idx="0">
                  <c:v>Obj. 510 - Salaries &amp; Wages</c:v>
                </c:pt>
                <c:pt idx="1">
                  <c:v>Obj. 520 - Personnel Benefits</c:v>
                </c:pt>
                <c:pt idx="2">
                  <c:v>Obj. 530 - Supplies/Consumables</c:v>
                </c:pt>
                <c:pt idx="3">
                  <c:v>Obj. 540 - Services &amp; Pass Through Payments</c:v>
                </c:pt>
                <c:pt idx="4">
                  <c:v>Obj. 560 - Capital Outlays</c:v>
                </c:pt>
              </c:strCache>
            </c:strRef>
          </c:cat>
          <c:val>
            <c:numRef>
              <c:f>[1]Expenditures!$C$35:$C$39</c:f>
              <c:numCache>
                <c:formatCode>General</c:formatCode>
                <c:ptCount val="5"/>
              </c:numCache>
            </c:numRef>
          </c:val>
          <c:extLst>
            <c:ext xmlns:c16="http://schemas.microsoft.com/office/drawing/2014/chart" uri="{C3380CC4-5D6E-409C-BE32-E72D297353CC}">
              <c16:uniqueId val="{00000000-A957-441A-892F-B243ECF6A93A}"/>
            </c:ext>
          </c:extLst>
        </c:ser>
        <c:ser>
          <c:idx val="1"/>
          <c:order val="1"/>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B-5EA3-45E1-9BE2-25335BA672E5}"/>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D-5EA3-45E1-9BE2-25335BA672E5}"/>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F-5EA3-45E1-9BE2-25335BA672E5}"/>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1-5EA3-45E1-9BE2-25335BA672E5}"/>
              </c:ext>
            </c:extLst>
          </c:dPt>
          <c:dPt>
            <c:idx val="4"/>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3-5EA3-45E1-9BE2-25335BA672E5}"/>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[1]Expenditures!$B$35:$B$39</c:f>
              <c:strCache>
                <c:ptCount val="5"/>
                <c:pt idx="0">
                  <c:v>Obj. 510 - Salaries &amp; Wages</c:v>
                </c:pt>
                <c:pt idx="1">
                  <c:v>Obj. 520 - Personnel Benefits</c:v>
                </c:pt>
                <c:pt idx="2">
                  <c:v>Obj. 530 - Supplies/Consumables</c:v>
                </c:pt>
                <c:pt idx="3">
                  <c:v>Obj. 540 - Services &amp; Pass Through Payments</c:v>
                </c:pt>
                <c:pt idx="4">
                  <c:v>Obj. 560 - Capital Outlays</c:v>
                </c:pt>
              </c:strCache>
            </c:strRef>
          </c:cat>
          <c:val>
            <c:numRef>
              <c:f>[1]Expenditures!$D$35:$D$39</c:f>
              <c:numCache>
                <c:formatCode>General</c:formatCode>
                <c:ptCount val="5"/>
              </c:numCache>
            </c:numRef>
          </c:val>
          <c:extLst>
            <c:ext xmlns:c16="http://schemas.microsoft.com/office/drawing/2014/chart" uri="{C3380CC4-5D6E-409C-BE32-E72D297353CC}">
              <c16:uniqueId val="{00000001-A957-441A-892F-B243ECF6A93A}"/>
            </c:ext>
          </c:extLst>
        </c:ser>
        <c:ser>
          <c:idx val="2"/>
          <c:order val="2"/>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A957-441A-892F-B243ECF6A93A}"/>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A957-441A-892F-B243ECF6A93A}"/>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7-A957-441A-892F-B243ECF6A93A}"/>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9-A957-441A-892F-B243ECF6A93A}"/>
              </c:ext>
            </c:extLst>
          </c:dPt>
          <c:dPt>
            <c:idx val="4"/>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B-A957-441A-892F-B243ECF6A93A}"/>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'2025 Expenditures'!$B$36:$B$40</c:f>
              <c:strCache>
                <c:ptCount val="5"/>
                <c:pt idx="0">
                  <c:v>Obj. 510 - Salaries &amp; Wages</c:v>
                </c:pt>
                <c:pt idx="1">
                  <c:v>Obj. 520 - Personnel Benefits</c:v>
                </c:pt>
                <c:pt idx="2">
                  <c:v>Obj. 530 - Supplies/Consumables</c:v>
                </c:pt>
                <c:pt idx="3">
                  <c:v>Obj. 540 - Services &amp; Pass Through Payments</c:v>
                </c:pt>
                <c:pt idx="4">
                  <c:v>Obj. 560 - Capital Outlays</c:v>
                </c:pt>
              </c:strCache>
            </c:strRef>
          </c:cat>
          <c:val>
            <c:numRef>
              <c:f>'2025 Expenditures'!$E$36:$E$40</c:f>
              <c:numCache>
                <c:formatCode>General</c:formatCode>
                <c:ptCount val="5"/>
              </c:numCache>
            </c:numRef>
          </c:val>
          <c:extLst>
            <c:ext xmlns:c16="http://schemas.microsoft.com/office/drawing/2014/chart" uri="{C3380CC4-5D6E-409C-BE32-E72D297353CC}">
              <c16:uniqueId val="{0000000C-A957-441A-892F-B243ECF6A93A}"/>
            </c:ext>
          </c:extLst>
        </c:ser>
        <c:ser>
          <c:idx val="3"/>
          <c:order val="3"/>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E-A957-441A-892F-B243ECF6A93A}"/>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0-A957-441A-892F-B243ECF6A93A}"/>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2-A957-441A-892F-B243ECF6A93A}"/>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4-A957-441A-892F-B243ECF6A93A}"/>
              </c:ext>
            </c:extLst>
          </c:dPt>
          <c:dPt>
            <c:idx val="4"/>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6-A957-441A-892F-B243ECF6A93A}"/>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'2025 Expenditures'!$B$36:$B$40</c:f>
              <c:strCache>
                <c:ptCount val="5"/>
                <c:pt idx="0">
                  <c:v>Obj. 510 - Salaries &amp; Wages</c:v>
                </c:pt>
                <c:pt idx="1">
                  <c:v>Obj. 520 - Personnel Benefits</c:v>
                </c:pt>
                <c:pt idx="2">
                  <c:v>Obj. 530 - Supplies/Consumables</c:v>
                </c:pt>
                <c:pt idx="3">
                  <c:v>Obj. 540 - Services &amp; Pass Through Payments</c:v>
                </c:pt>
                <c:pt idx="4">
                  <c:v>Obj. 560 - Capital Outlays</c:v>
                </c:pt>
              </c:strCache>
            </c:strRef>
          </c:cat>
          <c:val>
            <c:numRef>
              <c:f>'2025 Expenditures'!$F$36:$F$40</c:f>
              <c:numCache>
                <c:formatCode>0%</c:formatCode>
                <c:ptCount val="5"/>
                <c:pt idx="0">
                  <c:v>0.22219230063841955</c:v>
                </c:pt>
                <c:pt idx="1">
                  <c:v>8.0026922287578392E-2</c:v>
                </c:pt>
                <c:pt idx="2">
                  <c:v>4.6892575721797246E-2</c:v>
                </c:pt>
                <c:pt idx="3">
                  <c:v>0.43009806210772511</c:v>
                </c:pt>
                <c:pt idx="4">
                  <c:v>0.2207901392444796</c:v>
                </c:pt>
              </c:numCache>
            </c:numRef>
          </c:val>
          <c:extLst>
            <c:ext xmlns:c16="http://schemas.microsoft.com/office/drawing/2014/chart" uri="{C3380CC4-5D6E-409C-BE32-E72D297353CC}">
              <c16:uniqueId val="{00000017-A957-441A-892F-B243ECF6A93A}"/>
            </c:ext>
          </c:extLst>
        </c:ser>
        <c:dLbls>
          <c:showLegendKey val="0"/>
          <c:showVal val="0"/>
          <c:showCatName val="0"/>
          <c:showSerName val="0"/>
          <c:showPercent val="1"/>
          <c:showBubbleSize val="0"/>
          <c:showLeaderLines val="1"/>
        </c:dLbls>
        <c:firstSliceAng val="0"/>
        <c:holeSize val="50"/>
      </c:doughnutChart>
      <c:spPr>
        <a:noFill/>
        <a:ln>
          <a:noFill/>
        </a:ln>
        <a:effectLst/>
      </c:spPr>
    </c:plotArea>
    <c:legend>
      <c:legendPos val="r"/>
      <c:layout>
        <c:manualLayout>
          <c:xMode val="edge"/>
          <c:yMode val="edge"/>
          <c:x val="0.48539565956530512"/>
          <c:y val="0.23339100546022742"/>
          <c:w val="0.5008159915894691"/>
          <c:h val="0.67102261123369888"/>
        </c:manualLayout>
      </c:layout>
      <c:overlay val="0"/>
      <c:spPr>
        <a:solidFill>
          <a:schemeClr val="lt1">
            <a:lumMod val="95000"/>
            <a:alpha val="39000"/>
          </a:schemeClr>
        </a:solidFill>
        <a:ln>
          <a:noFill/>
        </a:ln>
        <a:effectLst/>
      </c:spPr>
      <c:txPr>
        <a:bodyPr rot="0" spcFirstLastPara="1" vertOverflow="ellipsis" vert="horz" wrap="square" anchor="ctr" anchorCtr="1"/>
        <a:lstStyle/>
        <a:p>
          <a:pPr>
            <a:defRPr sz="1000" b="0" i="0" u="none" strike="noStrike" kern="1200" baseline="0">
              <a:solidFill>
                <a:schemeClr val="dk1">
                  <a:lumMod val="75000"/>
                  <a:lumOff val="2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sz="1100">
                <a:latin typeface="Arial" panose="020B0604020202020204" pitchFamily="34" charset="0"/>
                <a:cs typeface="Arial" panose="020B0604020202020204" pitchFamily="34" charset="0"/>
              </a:defRPr>
            </a:pPr>
            <a:r>
              <a:rPr lang="en-US" sz="1100">
                <a:latin typeface="Arial" panose="020B0604020202020204" pitchFamily="34" charset="0"/>
                <a:cs typeface="Arial" panose="020B0604020202020204" pitchFamily="34" charset="0"/>
              </a:rPr>
              <a:t>5-Year Average (2021-2025)</a:t>
            </a:r>
          </a:p>
        </c:rich>
      </c:tx>
      <c:layout>
        <c:manualLayout>
          <c:xMode val="edge"/>
          <c:yMode val="edge"/>
          <c:x val="0.61509049404088978"/>
          <c:y val="0.19072096159067911"/>
        </c:manualLayout>
      </c:layout>
      <c:overlay val="1"/>
    </c:title>
    <c:autoTitleDeleted val="0"/>
    <c:plotArea>
      <c:layout/>
      <c:pieChart>
        <c:varyColors val="1"/>
        <c:ser>
          <c:idx val="0"/>
          <c:order val="0"/>
          <c:dLbls>
            <c:dLbl>
              <c:idx val="0"/>
              <c:layout>
                <c:manualLayout>
                  <c:x val="-1.8977161859805396E-2"/>
                  <c:y val="9.915979610476168E-2"/>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7B1-4463-94BC-9284729E6362}"/>
                </c:ext>
              </c:extLst>
            </c:dLbl>
            <c:dLbl>
              <c:idx val="4"/>
              <c:layout>
                <c:manualLayout>
                  <c:x val="2.3384391329932003E-2"/>
                  <c:y val="5.6914190597040719E-2"/>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7B1-4463-94BC-9284729E6362}"/>
                </c:ext>
              </c:extLst>
            </c:dLbl>
            <c:spPr>
              <a:noFill/>
              <a:ln>
                <a:noFill/>
              </a:ln>
              <a:effectLst/>
            </c:spPr>
            <c:dLblPos val="inEnd"/>
            <c:showLegendKey val="0"/>
            <c:showVal val="1"/>
            <c:showCatName val="0"/>
            <c:showSerName val="0"/>
            <c:showPercent val="0"/>
            <c:showBubbleSize val="0"/>
            <c:showLeaderLines val="1"/>
            <c:extLst>
              <c:ext xmlns:c15="http://schemas.microsoft.com/office/drawing/2012/chart" uri="{CE6537A1-D6FC-4f65-9D91-7224C49458BB}"/>
            </c:extLst>
          </c:dLbls>
          <c:cat>
            <c:strRef>
              <c:f>'Table 5'!$A$3:$A$8</c:f>
              <c:strCache>
                <c:ptCount val="6"/>
                <c:pt idx="0">
                  <c:v>MVFT</c:v>
                </c:pt>
                <c:pt idx="1">
                  <c:v>Fares</c:v>
                </c:pt>
                <c:pt idx="2">
                  <c:v>Deficit Reimb</c:v>
                </c:pt>
                <c:pt idx="3">
                  <c:v>Road Fund</c:v>
                </c:pt>
                <c:pt idx="4">
                  <c:v>FBP</c:v>
                </c:pt>
                <c:pt idx="5">
                  <c:v>Youth Ride Free</c:v>
                </c:pt>
              </c:strCache>
            </c:strRef>
          </c:cat>
          <c:val>
            <c:numRef>
              <c:f>'Table 5'!$I$3:$I$8</c:f>
              <c:numCache>
                <c:formatCode>0.00%</c:formatCode>
                <c:ptCount val="6"/>
                <c:pt idx="0">
                  <c:v>3.1472900911905771E-2</c:v>
                </c:pt>
                <c:pt idx="1">
                  <c:v>0.35039485329350023</c:v>
                </c:pt>
                <c:pt idx="2">
                  <c:v>7.7558556764918546E-2</c:v>
                </c:pt>
                <c:pt idx="3">
                  <c:v>0.42301011043410564</c:v>
                </c:pt>
                <c:pt idx="4">
                  <c:v>0.11393022632684925</c:v>
                </c:pt>
                <c:pt idx="5">
                  <c:v>3.6333522687205795E-3</c:v>
                </c:pt>
              </c:numCache>
            </c:numRef>
          </c:val>
          <c:extLst>
            <c:ext xmlns:c16="http://schemas.microsoft.com/office/drawing/2014/chart" uri="{C3380CC4-5D6E-409C-BE32-E72D297353CC}">
              <c16:uniqueId val="{00000002-07B1-4463-94BC-9284729E6362}"/>
            </c:ext>
          </c:extLst>
        </c:ser>
        <c:dLbls>
          <c:showLegendKey val="0"/>
          <c:showVal val="1"/>
          <c:showCatName val="0"/>
          <c:showSerName val="0"/>
          <c:showPercent val="0"/>
          <c:showBubbleSize val="0"/>
          <c:showLeaderLines val="1"/>
        </c:dLbls>
        <c:firstSliceAng val="0"/>
      </c:pieChart>
    </c:plotArea>
    <c:legend>
      <c:legendPos val="r"/>
      <c:overlay val="0"/>
      <c:txPr>
        <a:bodyPr/>
        <a:lstStyle/>
        <a:p>
          <a:pPr rtl="0">
            <a:defRPr>
              <a:latin typeface="Arial" panose="020B0604020202020204" pitchFamily="34" charset="0"/>
              <a:cs typeface="Arial" panose="020B0604020202020204" pitchFamily="34" charset="0"/>
            </a:defRPr>
          </a:pPr>
          <a:endParaRPr lang="en-US"/>
        </a:p>
      </c:txPr>
    </c:legend>
    <c:plotVisOnly val="1"/>
    <c:dispBlanksAs val="gap"/>
    <c:showDLblsOverMax val="0"/>
  </c:chart>
  <c:printSettings>
    <c:headerFooter/>
    <c:pageMargins b="0.75000000000000044" l="0.7000000000000004" r="0.7000000000000004" t="0.75000000000000044" header="0.30000000000000021" footer="0.30000000000000021"/>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sz="1100"/>
            </a:pPr>
            <a:r>
              <a:rPr lang="en-US" sz="1100">
                <a:latin typeface="Arial" panose="020B0604020202020204" pitchFamily="34" charset="0"/>
                <a:cs typeface="Arial" panose="020B0604020202020204" pitchFamily="34" charset="0"/>
              </a:rPr>
              <a:t>2025</a:t>
            </a:r>
          </a:p>
        </c:rich>
      </c:tx>
      <c:layout>
        <c:manualLayout>
          <c:xMode val="edge"/>
          <c:yMode val="edge"/>
          <c:x val="0.7930659336531285"/>
          <c:y val="0.17426323904098676"/>
        </c:manualLayout>
      </c:layout>
      <c:overlay val="1"/>
    </c:title>
    <c:autoTitleDeleted val="0"/>
    <c:plotArea>
      <c:layout/>
      <c:pieChart>
        <c:varyColors val="1"/>
        <c:ser>
          <c:idx val="0"/>
          <c:order val="0"/>
          <c:dLbls>
            <c:dLbl>
              <c:idx val="0"/>
              <c:layout>
                <c:manualLayout>
                  <c:x val="-8.5332052846225585E-3"/>
                  <c:y val="5.4209939192860587E-2"/>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19A-4C5E-84BB-7D2F907B0086}"/>
                </c:ext>
              </c:extLst>
            </c:dLbl>
            <c:dLbl>
              <c:idx val="5"/>
              <c:layout>
                <c:manualLayout>
                  <c:x val="9.3200468367345499E-3"/>
                  <c:y val="0.12314851268591426"/>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19A-4C5E-84BB-7D2F907B0086}"/>
                </c:ext>
              </c:extLst>
            </c:dLbl>
            <c:spPr>
              <a:noFill/>
              <a:ln>
                <a:noFill/>
              </a:ln>
              <a:effectLst/>
            </c:spPr>
            <c:dLblPos val="inEnd"/>
            <c:showLegendKey val="0"/>
            <c:showVal val="1"/>
            <c:showCatName val="0"/>
            <c:showSerName val="0"/>
            <c:showPercent val="0"/>
            <c:showBubbleSize val="0"/>
            <c:showLeaderLines val="1"/>
            <c:extLst>
              <c:ext xmlns:c15="http://schemas.microsoft.com/office/drawing/2012/chart" uri="{CE6537A1-D6FC-4f65-9D91-7224C49458BB}"/>
            </c:extLst>
          </c:dLbls>
          <c:cat>
            <c:strRef>
              <c:f>'Table 5'!$A$3:$A$8</c:f>
              <c:strCache>
                <c:ptCount val="6"/>
                <c:pt idx="0">
                  <c:v>MVFT</c:v>
                </c:pt>
                <c:pt idx="1">
                  <c:v>Fares</c:v>
                </c:pt>
                <c:pt idx="2">
                  <c:v>Deficit Reimb</c:v>
                </c:pt>
                <c:pt idx="3">
                  <c:v>Road Fund</c:v>
                </c:pt>
                <c:pt idx="4">
                  <c:v>FBP</c:v>
                </c:pt>
                <c:pt idx="5">
                  <c:v>Youth Ride Free</c:v>
                </c:pt>
              </c:strCache>
            </c:strRef>
          </c:cat>
          <c:val>
            <c:numRef>
              <c:f>'Table 5'!$G$3:$G$8</c:f>
              <c:numCache>
                <c:formatCode>0%</c:formatCode>
                <c:ptCount val="6"/>
                <c:pt idx="0">
                  <c:v>1.9833981587363755E-2</c:v>
                </c:pt>
                <c:pt idx="1">
                  <c:v>0.30998199464627485</c:v>
                </c:pt>
                <c:pt idx="2">
                  <c:v>6.2010544233862992E-2</c:v>
                </c:pt>
                <c:pt idx="3">
                  <c:v>0.47614964237644908</c:v>
                </c:pt>
                <c:pt idx="4">
                  <c:v>0.12887650688076613</c:v>
                </c:pt>
                <c:pt idx="5">
                  <c:v>3.1473302752832214E-3</c:v>
                </c:pt>
              </c:numCache>
            </c:numRef>
          </c:val>
          <c:extLst>
            <c:ext xmlns:c16="http://schemas.microsoft.com/office/drawing/2014/chart" uri="{C3380CC4-5D6E-409C-BE32-E72D297353CC}">
              <c16:uniqueId val="{00000002-F19A-4C5E-84BB-7D2F907B0086}"/>
            </c:ext>
          </c:extLst>
        </c:ser>
        <c:dLbls>
          <c:showLegendKey val="0"/>
          <c:showVal val="1"/>
          <c:showCatName val="0"/>
          <c:showSerName val="0"/>
          <c:showPercent val="0"/>
          <c:showBubbleSize val="0"/>
          <c:showLeaderLines val="1"/>
        </c:dLbls>
        <c:firstSliceAng val="0"/>
      </c:pieChart>
    </c:plotArea>
    <c:legend>
      <c:legendPos val="r"/>
      <c:overlay val="0"/>
      <c:txPr>
        <a:bodyPr/>
        <a:lstStyle/>
        <a:p>
          <a:pPr rtl="0">
            <a:defRPr>
              <a:latin typeface="Arial" panose="020B0604020202020204" pitchFamily="34" charset="0"/>
              <a:cs typeface="Arial" panose="020B0604020202020204" pitchFamily="34" charset="0"/>
            </a:defRPr>
          </a:pPr>
          <a:endParaRPr lang="en-US"/>
        </a:p>
      </c:txPr>
    </c:legend>
    <c:plotVisOnly val="1"/>
    <c:dispBlanksAs val="gap"/>
    <c:showDLblsOverMax val="0"/>
  </c:chart>
  <c:printSettings>
    <c:headerFooter/>
    <c:pageMargins b="0.75000000000000044" l="0.7000000000000004" r="0.7000000000000004" t="0.75000000000000044" header="0.30000000000000021" footer="0.30000000000000021"/>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'FFRTR Table 6-7'!$A$3</c:f>
              <c:strCache>
                <c:ptCount val="1"/>
                <c:pt idx="0">
                  <c:v>Total O&amp;M Exp.</c:v>
                </c:pt>
              </c:strCache>
            </c:strRef>
          </c:tx>
          <c:marker>
            <c:symbol val="none"/>
          </c:marker>
          <c:cat>
            <c:strRef>
              <c:f>'FFRTR Table 6-7'!$B$2:$J$2</c:f>
              <c:strCache>
                <c:ptCount val="9"/>
                <c:pt idx="0">
                  <c:v>2021</c:v>
                </c:pt>
                <c:pt idx="1">
                  <c:v>2022</c:v>
                </c:pt>
                <c:pt idx="2">
                  <c:v>2023</c:v>
                </c:pt>
                <c:pt idx="3">
                  <c:v>2024</c:v>
                </c:pt>
                <c:pt idx="4">
                  <c:v>2025</c:v>
                </c:pt>
                <c:pt idx="5">
                  <c:v>2026 Budgeted</c:v>
                </c:pt>
                <c:pt idx="6">
                  <c:v>2027 Proj.</c:v>
                </c:pt>
                <c:pt idx="7">
                  <c:v>2028 Proj.</c:v>
                </c:pt>
                <c:pt idx="8">
                  <c:v>2029 Proj. </c:v>
                </c:pt>
              </c:strCache>
            </c:strRef>
          </c:cat>
          <c:val>
            <c:numRef>
              <c:f>'FFRTR Table 6-7'!$B$3:$J$3</c:f>
              <c:numCache>
                <c:formatCode>"$"#,##0</c:formatCode>
                <c:ptCount val="9"/>
                <c:pt idx="0">
                  <c:v>3144332</c:v>
                </c:pt>
                <c:pt idx="1">
                  <c:v>2904594</c:v>
                </c:pt>
                <c:pt idx="2">
                  <c:v>3672134</c:v>
                </c:pt>
                <c:pt idx="3">
                  <c:v>2892255.92</c:v>
                </c:pt>
                <c:pt idx="4">
                  <c:v>4694137.16</c:v>
                </c:pt>
                <c:pt idx="5">
                  <c:v>5220860</c:v>
                </c:pt>
                <c:pt idx="6">
                  <c:v>5168229.561396</c:v>
                </c:pt>
                <c:pt idx="7">
                  <c:v>5295368.0086063417</c:v>
                </c:pt>
                <c:pt idx="8">
                  <c:v>5454229.0488645323</c:v>
                </c:pt>
              </c:numCache>
            </c:numRef>
          </c:val>
          <c:smooth val="0"/>
          <c:extLst>
            <c:ext xmlns:c16="http://schemas.microsoft.com/office/drawing/2014/chart" uri="{C3380CC4-5D6E-409C-BE32-E72D297353CC}">
              <c16:uniqueId val="{00000000-CA3F-4AEA-A456-405DA54FCD83}"/>
            </c:ext>
          </c:extLst>
        </c:ser>
        <c:ser>
          <c:idx val="1"/>
          <c:order val="1"/>
          <c:tx>
            <c:strRef>
              <c:f>'FFRTR Table 6-7'!$A$4</c:f>
              <c:strCache>
                <c:ptCount val="1"/>
                <c:pt idx="0">
                  <c:v>Adjusted O&amp;M Exp.</c:v>
                </c:pt>
              </c:strCache>
            </c:strRef>
          </c:tx>
          <c:marker>
            <c:symbol val="none"/>
          </c:marker>
          <c:cat>
            <c:strRef>
              <c:f>'FFRTR Table 6-7'!$B$2:$J$2</c:f>
              <c:strCache>
                <c:ptCount val="9"/>
                <c:pt idx="0">
                  <c:v>2021</c:v>
                </c:pt>
                <c:pt idx="1">
                  <c:v>2022</c:v>
                </c:pt>
                <c:pt idx="2">
                  <c:v>2023</c:v>
                </c:pt>
                <c:pt idx="3">
                  <c:v>2024</c:v>
                </c:pt>
                <c:pt idx="4">
                  <c:v>2025</c:v>
                </c:pt>
                <c:pt idx="5">
                  <c:v>2026 Budgeted</c:v>
                </c:pt>
                <c:pt idx="6">
                  <c:v>2027 Proj.</c:v>
                </c:pt>
                <c:pt idx="7">
                  <c:v>2028 Proj.</c:v>
                </c:pt>
                <c:pt idx="8">
                  <c:v>2029 Proj. </c:v>
                </c:pt>
              </c:strCache>
            </c:strRef>
          </c:cat>
          <c:val>
            <c:numRef>
              <c:f>'FFRTR Table 6-7'!$B$4:$J$4</c:f>
              <c:numCache>
                <c:formatCode>"$"#,##0</c:formatCode>
                <c:ptCount val="9"/>
                <c:pt idx="0">
                  <c:v>2826710</c:v>
                </c:pt>
                <c:pt idx="1">
                  <c:v>2319930</c:v>
                </c:pt>
                <c:pt idx="2">
                  <c:v>3309507</c:v>
                </c:pt>
                <c:pt idx="3">
                  <c:v>2548384.92</c:v>
                </c:pt>
                <c:pt idx="4">
                  <c:v>4295173.7300000004</c:v>
                </c:pt>
                <c:pt idx="5">
                  <c:v>4579425.26</c:v>
                </c:pt>
                <c:pt idx="6">
                  <c:v>4206781.4160004668</c:v>
                </c:pt>
                <c:pt idx="7">
                  <c:v>4332984.8584804805</c:v>
                </c:pt>
                <c:pt idx="8">
                  <c:v>4462974.4042348955</c:v>
                </c:pt>
              </c:numCache>
            </c:numRef>
          </c:val>
          <c:smooth val="0"/>
          <c:extLst>
            <c:ext xmlns:c16="http://schemas.microsoft.com/office/drawing/2014/chart" uri="{C3380CC4-5D6E-409C-BE32-E72D297353CC}">
              <c16:uniqueId val="{00000001-CA3F-4AEA-A456-405DA54FCD83}"/>
            </c:ext>
          </c:extLst>
        </c:ser>
        <c:ser>
          <c:idx val="2"/>
          <c:order val="2"/>
          <c:tx>
            <c:strRef>
              <c:f>'FFRTR Table 6-7'!$A$5</c:f>
              <c:strCache>
                <c:ptCount val="1"/>
                <c:pt idx="0">
                  <c:v>Revenue Target</c:v>
                </c:pt>
              </c:strCache>
            </c:strRef>
          </c:tx>
          <c:marker>
            <c:symbol val="none"/>
          </c:marker>
          <c:cat>
            <c:strRef>
              <c:f>'FFRTR Table 6-7'!$B$2:$J$2</c:f>
              <c:strCache>
                <c:ptCount val="9"/>
                <c:pt idx="0">
                  <c:v>2021</c:v>
                </c:pt>
                <c:pt idx="1">
                  <c:v>2022</c:v>
                </c:pt>
                <c:pt idx="2">
                  <c:v>2023</c:v>
                </c:pt>
                <c:pt idx="3">
                  <c:v>2024</c:v>
                </c:pt>
                <c:pt idx="4">
                  <c:v>2025</c:v>
                </c:pt>
                <c:pt idx="5">
                  <c:v>2026 Budgeted</c:v>
                </c:pt>
                <c:pt idx="6">
                  <c:v>2027 Proj.</c:v>
                </c:pt>
                <c:pt idx="7">
                  <c:v>2028 Proj.</c:v>
                </c:pt>
                <c:pt idx="8">
                  <c:v>2029 Proj. </c:v>
                </c:pt>
              </c:strCache>
            </c:strRef>
          </c:cat>
          <c:val>
            <c:numRef>
              <c:f>'FFRTR Table 6-7'!$B$5:$J$5</c:f>
              <c:numCache>
                <c:formatCode>"$"#,##0</c:formatCode>
                <c:ptCount val="9"/>
                <c:pt idx="0">
                  <c:v>1386935</c:v>
                </c:pt>
                <c:pt idx="1">
                  <c:v>1463031</c:v>
                </c:pt>
                <c:pt idx="2">
                  <c:v>1307220</c:v>
                </c:pt>
                <c:pt idx="3">
                  <c:v>1307220</c:v>
                </c:pt>
                <c:pt idx="4">
                  <c:v>1818971</c:v>
                </c:pt>
                <c:pt idx="5">
                  <c:v>2319876</c:v>
                </c:pt>
                <c:pt idx="6">
                  <c:v>2524068.8496002802</c:v>
                </c:pt>
                <c:pt idx="7">
                  <c:v>2816440.1580123124</c:v>
                </c:pt>
                <c:pt idx="8">
                  <c:v>2900933.3627526821</c:v>
                </c:pt>
              </c:numCache>
            </c:numRef>
          </c:val>
          <c:smooth val="0"/>
          <c:extLst>
            <c:ext xmlns:c16="http://schemas.microsoft.com/office/drawing/2014/chart" uri="{C3380CC4-5D6E-409C-BE32-E72D297353CC}">
              <c16:uniqueId val="{00000002-CA3F-4AEA-A456-405DA54FCD83}"/>
            </c:ext>
          </c:extLst>
        </c:ser>
        <c:dLbls>
          <c:showLegendKey val="0"/>
          <c:showVal val="0"/>
          <c:showCatName val="0"/>
          <c:showSerName val="0"/>
          <c:showPercent val="0"/>
          <c:showBubbleSize val="0"/>
        </c:dLbls>
        <c:smooth val="0"/>
        <c:axId val="116609024"/>
        <c:axId val="116610560"/>
      </c:lineChart>
      <c:catAx>
        <c:axId val="116609024"/>
        <c:scaling>
          <c:orientation val="minMax"/>
        </c:scaling>
        <c:delete val="0"/>
        <c:axPos val="b"/>
        <c:numFmt formatCode="General" sourceLinked="1"/>
        <c:majorTickMark val="out"/>
        <c:minorTickMark val="none"/>
        <c:tickLblPos val="nextTo"/>
        <c:crossAx val="116610560"/>
        <c:crosses val="autoZero"/>
        <c:auto val="1"/>
        <c:lblAlgn val="ctr"/>
        <c:lblOffset val="100"/>
        <c:noMultiLvlLbl val="0"/>
      </c:catAx>
      <c:valAx>
        <c:axId val="116610560"/>
        <c:scaling>
          <c:orientation val="minMax"/>
          <c:min val="500000"/>
        </c:scaling>
        <c:delete val="0"/>
        <c:axPos val="l"/>
        <c:majorGridlines/>
        <c:numFmt formatCode="&quot;$&quot;#,##0" sourceLinked="1"/>
        <c:majorTickMark val="out"/>
        <c:minorTickMark val="none"/>
        <c:tickLblPos val="nextTo"/>
        <c:crossAx val="116609024"/>
        <c:crosses val="autoZero"/>
        <c:crossBetween val="between"/>
      </c:valAx>
    </c:plotArea>
    <c:legend>
      <c:legendPos val="r"/>
      <c:overlay val="0"/>
      <c:txPr>
        <a:bodyPr/>
        <a:lstStyle/>
        <a:p>
          <a:pPr>
            <a:defRPr sz="1000">
              <a:latin typeface="Arial Narrow" panose="020B0606020202030204" pitchFamily="34" charset="0"/>
              <a:cs typeface="Arial" panose="020B0604020202020204" pitchFamily="34" charset="0"/>
            </a:defRPr>
          </a:pPr>
          <a:endParaRPr lang="en-US"/>
        </a:p>
      </c:txPr>
    </c:legend>
    <c:plotVisOnly val="1"/>
    <c:dispBlanksAs val="gap"/>
    <c:showDLblsOverMax val="0"/>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'FFRTR Table 6-7'!$A$24</c:f>
              <c:strCache>
                <c:ptCount val="1"/>
                <c:pt idx="0">
                  <c:v>Fare Box Revenue</c:v>
                </c:pt>
              </c:strCache>
            </c:strRef>
          </c:tx>
          <c:marker>
            <c:symbol val="none"/>
          </c:marker>
          <c:cat>
            <c:strRef>
              <c:f>'FFRTR Table 6-7'!$B$23:$J$23</c:f>
              <c:strCache>
                <c:ptCount val="9"/>
                <c:pt idx="0">
                  <c:v>2021</c:v>
                </c:pt>
                <c:pt idx="1">
                  <c:v>2022</c:v>
                </c:pt>
                <c:pt idx="2">
                  <c:v>2023</c:v>
                </c:pt>
                <c:pt idx="3">
                  <c:v>2024</c:v>
                </c:pt>
                <c:pt idx="4">
                  <c:v>2025</c:v>
                </c:pt>
                <c:pt idx="5">
                  <c:v>2026 Budgeted</c:v>
                </c:pt>
                <c:pt idx="6">
                  <c:v>2027 Proj.</c:v>
                </c:pt>
                <c:pt idx="7">
                  <c:v>2028 Proj. </c:v>
                </c:pt>
                <c:pt idx="8">
                  <c:v>2029 Proj.</c:v>
                </c:pt>
              </c:strCache>
            </c:strRef>
          </c:cat>
          <c:val>
            <c:numRef>
              <c:f>'FFRTR Table 6-7'!$B$24:$J$24</c:f>
              <c:numCache>
                <c:formatCode>_("$"* #,##0_);_("$"* \(#,##0\);_("$"* "-"??_);_(@_)</c:formatCode>
                <c:ptCount val="9"/>
                <c:pt idx="0">
                  <c:v>1115037</c:v>
                </c:pt>
                <c:pt idx="1">
                  <c:v>1201719</c:v>
                </c:pt>
                <c:pt idx="2">
                  <c:v>1250681</c:v>
                </c:pt>
                <c:pt idx="3">
                  <c:v>1346019</c:v>
                </c:pt>
                <c:pt idx="4">
                  <c:v>1455098</c:v>
                </c:pt>
                <c:pt idx="5">
                  <c:v>1900000</c:v>
                </c:pt>
                <c:pt idx="6">
                  <c:v>2529427.75</c:v>
                </c:pt>
                <c:pt idx="7">
                  <c:v>2858253.3574999999</c:v>
                </c:pt>
                <c:pt idx="8">
                  <c:v>2944000.9582250002</c:v>
                </c:pt>
              </c:numCache>
            </c:numRef>
          </c:val>
          <c:smooth val="0"/>
          <c:extLst>
            <c:ext xmlns:c16="http://schemas.microsoft.com/office/drawing/2014/chart" uri="{C3380CC4-5D6E-409C-BE32-E72D297353CC}">
              <c16:uniqueId val="{00000000-FBA9-4330-8578-F5E7D051CA3A}"/>
            </c:ext>
          </c:extLst>
        </c:ser>
        <c:ser>
          <c:idx val="1"/>
          <c:order val="1"/>
          <c:tx>
            <c:strRef>
              <c:f>'FFRTR Table 6-7'!$A$25</c:f>
              <c:strCache>
                <c:ptCount val="1"/>
                <c:pt idx="0">
                  <c:v>Road Fund Contribution</c:v>
                </c:pt>
              </c:strCache>
            </c:strRef>
          </c:tx>
          <c:marker>
            <c:symbol val="none"/>
          </c:marker>
          <c:cat>
            <c:strRef>
              <c:f>'FFRTR Table 6-7'!$B$23:$J$23</c:f>
              <c:strCache>
                <c:ptCount val="9"/>
                <c:pt idx="0">
                  <c:v>2021</c:v>
                </c:pt>
                <c:pt idx="1">
                  <c:v>2022</c:v>
                </c:pt>
                <c:pt idx="2">
                  <c:v>2023</c:v>
                </c:pt>
                <c:pt idx="3">
                  <c:v>2024</c:v>
                </c:pt>
                <c:pt idx="4">
                  <c:v>2025</c:v>
                </c:pt>
                <c:pt idx="5">
                  <c:v>2026 Budgeted</c:v>
                </c:pt>
                <c:pt idx="6">
                  <c:v>2027 Proj.</c:v>
                </c:pt>
                <c:pt idx="7">
                  <c:v>2028 Proj. </c:v>
                </c:pt>
                <c:pt idx="8">
                  <c:v>2029 Proj.</c:v>
                </c:pt>
              </c:strCache>
            </c:strRef>
          </c:cat>
          <c:val>
            <c:numRef>
              <c:f>'FFRTR Table 6-7'!$B$25:$J$25</c:f>
              <c:numCache>
                <c:formatCode>_("$"* #,##0_);_("$"* \(#,##0\);_("$"* "-"??_);_(@_)</c:formatCode>
                <c:ptCount val="9"/>
                <c:pt idx="0">
                  <c:v>1711318</c:v>
                </c:pt>
                <c:pt idx="1">
                  <c:v>1118211</c:v>
                </c:pt>
                <c:pt idx="2">
                  <c:v>1708086</c:v>
                </c:pt>
                <c:pt idx="3">
                  <c:v>915636</c:v>
                </c:pt>
                <c:pt idx="4">
                  <c:v>2235111.7300000004</c:v>
                </c:pt>
                <c:pt idx="5">
                  <c:v>2095355</c:v>
                </c:pt>
                <c:pt idx="6">
                  <c:v>1677353.6660004668</c:v>
                </c:pt>
                <c:pt idx="7">
                  <c:v>1474731.5009804806</c:v>
                </c:pt>
                <c:pt idx="8">
                  <c:v>1518973.4460098953</c:v>
                </c:pt>
              </c:numCache>
            </c:numRef>
          </c:val>
          <c:smooth val="0"/>
          <c:extLst>
            <c:ext xmlns:c16="http://schemas.microsoft.com/office/drawing/2014/chart" uri="{C3380CC4-5D6E-409C-BE32-E72D297353CC}">
              <c16:uniqueId val="{00000001-FBA9-4330-8578-F5E7D051CA3A}"/>
            </c:ext>
          </c:extLst>
        </c:ser>
        <c:dLbls>
          <c:showLegendKey val="0"/>
          <c:showVal val="0"/>
          <c:showCatName val="0"/>
          <c:showSerName val="0"/>
          <c:showPercent val="0"/>
          <c:showBubbleSize val="0"/>
        </c:dLbls>
        <c:smooth val="0"/>
        <c:axId val="116644864"/>
        <c:axId val="116327168"/>
      </c:lineChart>
      <c:catAx>
        <c:axId val="116644864"/>
        <c:scaling>
          <c:orientation val="minMax"/>
        </c:scaling>
        <c:delete val="0"/>
        <c:axPos val="b"/>
        <c:numFmt formatCode="General" sourceLinked="1"/>
        <c:majorTickMark val="out"/>
        <c:minorTickMark val="none"/>
        <c:tickLblPos val="nextTo"/>
        <c:crossAx val="116327168"/>
        <c:crosses val="autoZero"/>
        <c:auto val="1"/>
        <c:lblAlgn val="ctr"/>
        <c:lblOffset val="100"/>
        <c:noMultiLvlLbl val="0"/>
      </c:catAx>
      <c:valAx>
        <c:axId val="116327168"/>
        <c:scaling>
          <c:orientation val="minMax"/>
          <c:min val="200000"/>
        </c:scaling>
        <c:delete val="0"/>
        <c:axPos val="l"/>
        <c:majorGridlines/>
        <c:numFmt formatCode="_(&quot;$&quot;* #,##0_);_(&quot;$&quot;* \(#,##0\);_(&quot;$&quot;* &quot;-&quot;??_);_(@_)" sourceLinked="1"/>
        <c:majorTickMark val="out"/>
        <c:minorTickMark val="none"/>
        <c:tickLblPos val="nextTo"/>
        <c:crossAx val="116644864"/>
        <c:crosses val="autoZero"/>
        <c:crossBetween val="between"/>
      </c:valAx>
    </c:plotArea>
    <c:legend>
      <c:legendPos val="r"/>
      <c:overlay val="0"/>
      <c:txPr>
        <a:bodyPr/>
        <a:lstStyle/>
        <a:p>
          <a:pPr>
            <a:defRPr sz="1000">
              <a:latin typeface="Arial Narrow" panose="020B0606020202030204" pitchFamily="34" charset="0"/>
              <a:cs typeface="Arial" panose="020B0604020202020204" pitchFamily="34" charset="0"/>
            </a:defRPr>
          </a:pPr>
          <a:endParaRPr lang="en-US"/>
        </a:p>
      </c:txPr>
    </c:legend>
    <c:plotVisOnly val="1"/>
    <c:dispBlanksAs val="gap"/>
    <c:showDLblsOverMax val="0"/>
  </c:chart>
  <c:printSettings>
    <c:headerFooter/>
    <c:pageMargins b="0.75" l="0.7" r="0.7" t="0.75" header="0.3" footer="0.3"/>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'FFRTR Table 8'!$A$3</c:f>
              <c:strCache>
                <c:ptCount val="1"/>
                <c:pt idx="0">
                  <c:v>Revenue Target</c:v>
                </c:pt>
              </c:strCache>
            </c:strRef>
          </c:tx>
          <c:invertIfNegative val="0"/>
          <c:cat>
            <c:numRef>
              <c:f>'FFRTR Table 8'!$B$2:$F$2</c:f>
              <c:numCache>
                <c:formatCode>General</c:formatCode>
                <c:ptCount val="5"/>
                <c:pt idx="0">
                  <c:v>2021</c:v>
                </c:pt>
                <c:pt idx="1">
                  <c:v>2022</c:v>
                </c:pt>
                <c:pt idx="2">
                  <c:v>2023</c:v>
                </c:pt>
                <c:pt idx="3">
                  <c:v>2024</c:v>
                </c:pt>
                <c:pt idx="4">
                  <c:v>2025</c:v>
                </c:pt>
              </c:numCache>
            </c:numRef>
          </c:cat>
          <c:val>
            <c:numRef>
              <c:f>'FFRTR Table 8'!$B$3:$F$3</c:f>
              <c:numCache>
                <c:formatCode>_("$"* #,##0_);_("$"* \(#,##0\);_("$"* "-"??_);_(@_)</c:formatCode>
                <c:ptCount val="5"/>
                <c:pt idx="0">
                  <c:v>1386935</c:v>
                </c:pt>
                <c:pt idx="1">
                  <c:v>1463031</c:v>
                </c:pt>
                <c:pt idx="2">
                  <c:v>1307220</c:v>
                </c:pt>
                <c:pt idx="3">
                  <c:v>1307220</c:v>
                </c:pt>
                <c:pt idx="4">
                  <c:v>1818971</c:v>
                </c:pt>
              </c:numCache>
            </c:numRef>
          </c:val>
          <c:extLst>
            <c:ext xmlns:c16="http://schemas.microsoft.com/office/drawing/2014/chart" uri="{C3380CC4-5D6E-409C-BE32-E72D297353CC}">
              <c16:uniqueId val="{00000000-D94A-427B-B002-074D158AEAC6}"/>
            </c:ext>
          </c:extLst>
        </c:ser>
        <c:ser>
          <c:idx val="1"/>
          <c:order val="1"/>
          <c:tx>
            <c:strRef>
              <c:f>'FFRTR Table 8'!$A$4</c:f>
              <c:strCache>
                <c:ptCount val="1"/>
                <c:pt idx="0">
                  <c:v>Fare Box Revenue</c:v>
                </c:pt>
              </c:strCache>
            </c:strRef>
          </c:tx>
          <c:invertIfNegative val="0"/>
          <c:cat>
            <c:numRef>
              <c:f>'FFRTR Table 8'!$B$2:$F$2</c:f>
              <c:numCache>
                <c:formatCode>General</c:formatCode>
                <c:ptCount val="5"/>
                <c:pt idx="0">
                  <c:v>2021</c:v>
                </c:pt>
                <c:pt idx="1">
                  <c:v>2022</c:v>
                </c:pt>
                <c:pt idx="2">
                  <c:v>2023</c:v>
                </c:pt>
                <c:pt idx="3">
                  <c:v>2024</c:v>
                </c:pt>
                <c:pt idx="4">
                  <c:v>2025</c:v>
                </c:pt>
              </c:numCache>
            </c:numRef>
          </c:cat>
          <c:val>
            <c:numRef>
              <c:f>'FFRTR Table 8'!$B$4:$F$4</c:f>
              <c:numCache>
                <c:formatCode>_("$"* #,##0_);_("$"* \(#,##0\);_("$"* "-"??_);_(@_)</c:formatCode>
                <c:ptCount val="5"/>
                <c:pt idx="0">
                  <c:v>1115037</c:v>
                </c:pt>
                <c:pt idx="1">
                  <c:v>1201719</c:v>
                </c:pt>
                <c:pt idx="2">
                  <c:v>1250681</c:v>
                </c:pt>
                <c:pt idx="3">
                  <c:v>1346019</c:v>
                </c:pt>
                <c:pt idx="4">
                  <c:v>1455098</c:v>
                </c:pt>
              </c:numCache>
            </c:numRef>
          </c:val>
          <c:extLst>
            <c:ext xmlns:c16="http://schemas.microsoft.com/office/drawing/2014/chart" uri="{C3380CC4-5D6E-409C-BE32-E72D297353CC}">
              <c16:uniqueId val="{00000001-D94A-427B-B002-074D158AEAC6}"/>
            </c:ext>
          </c:extLst>
        </c:ser>
        <c:dLbls>
          <c:showLegendKey val="0"/>
          <c:showVal val="0"/>
          <c:showCatName val="0"/>
          <c:showSerName val="0"/>
          <c:showPercent val="0"/>
          <c:showBubbleSize val="0"/>
        </c:dLbls>
        <c:gapWidth val="150"/>
        <c:axId val="117196288"/>
        <c:axId val="117197824"/>
      </c:barChart>
      <c:catAx>
        <c:axId val="117196288"/>
        <c:scaling>
          <c:orientation val="minMax"/>
        </c:scaling>
        <c:delete val="0"/>
        <c:axPos val="b"/>
        <c:numFmt formatCode="General" sourceLinked="1"/>
        <c:majorTickMark val="out"/>
        <c:minorTickMark val="none"/>
        <c:tickLblPos val="nextTo"/>
        <c:crossAx val="117197824"/>
        <c:crosses val="autoZero"/>
        <c:auto val="1"/>
        <c:lblAlgn val="ctr"/>
        <c:lblOffset val="100"/>
        <c:noMultiLvlLbl val="0"/>
      </c:catAx>
      <c:valAx>
        <c:axId val="117197824"/>
        <c:scaling>
          <c:orientation val="minMax"/>
        </c:scaling>
        <c:delete val="0"/>
        <c:axPos val="l"/>
        <c:majorGridlines/>
        <c:numFmt formatCode="_(&quot;$&quot;* #,##0_);_(&quot;$&quot;* \(#,##0\);_(&quot;$&quot;* &quot;-&quot;??_);_(@_)" sourceLinked="1"/>
        <c:majorTickMark val="out"/>
        <c:minorTickMark val="none"/>
        <c:tickLblPos val="nextTo"/>
        <c:crossAx val="117196288"/>
        <c:crosses val="autoZero"/>
        <c:crossBetween val="between"/>
        <c:majorUnit val="300000"/>
      </c:valAx>
    </c:plotArea>
    <c:legend>
      <c:legendPos val="r"/>
      <c:overlay val="0"/>
      <c:txPr>
        <a:bodyPr/>
        <a:lstStyle/>
        <a:p>
          <a:pPr>
            <a:defRPr>
              <a:latin typeface="Arial Narrow" panose="020B0606020202030204" pitchFamily="34" charset="0"/>
            </a:defRPr>
          </a:pPr>
          <a:endParaRPr lang="en-US"/>
        </a:p>
      </c:txPr>
    </c:legend>
    <c:plotVisOnly val="1"/>
    <c:dispBlanksAs val="gap"/>
    <c:showDLblsOverMax val="0"/>
  </c:chart>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0</xdr:col>
      <xdr:colOff>9525</xdr:colOff>
      <xdr:row>33</xdr:row>
      <xdr:rowOff>103822</xdr:rowOff>
    </xdr:from>
    <xdr:to>
      <xdr:col>6</xdr:col>
      <xdr:colOff>9525</xdr:colOff>
      <xdr:row>49</xdr:row>
      <xdr:rowOff>62865</xdr:rowOff>
    </xdr:to>
    <xdr:graphicFrame macro="">
      <xdr:nvGraphicFramePr>
        <xdr:cNvPr id="2" name="Chart 1">
          <a:extLst>
            <a:ext uri="{FF2B5EF4-FFF2-40B4-BE49-F238E27FC236}">
              <a16:creationId xmlns:a16="http://schemas.microsoft.com/office/drawing/2014/main" id="{3A5BF445-1B86-490B-818A-E1160566A9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334613</xdr:colOff>
      <xdr:row>48</xdr:row>
      <xdr:rowOff>10739</xdr:rowOff>
    </xdr:to>
    <xdr:pic>
      <xdr:nvPicPr>
        <xdr:cNvPr id="2" name="Picture 1">
          <a:extLst>
            <a:ext uri="{FF2B5EF4-FFF2-40B4-BE49-F238E27FC236}">
              <a16:creationId xmlns:a16="http://schemas.microsoft.com/office/drawing/2014/main" id="{D86C34D2-2146-4322-9FE2-BAA89E1FFC66}"/>
            </a:ext>
          </a:extLst>
        </xdr:cNvPr>
        <xdr:cNvPicPr>
          <a:picLocks noChangeAspect="1"/>
        </xdr:cNvPicPr>
      </xdr:nvPicPr>
      <xdr:blipFill>
        <a:blip xmlns:r="http://schemas.openxmlformats.org/officeDocument/2006/relationships" r:embed="rId1"/>
        <a:stretch>
          <a:fillRect/>
        </a:stretch>
      </xdr:blipFill>
      <xdr:spPr>
        <a:xfrm>
          <a:off x="0" y="0"/>
          <a:ext cx="8869013" cy="9154739"/>
        </a:xfrm>
        <a:prstGeom prst="rect">
          <a:avLst/>
        </a:prstGeom>
      </xdr:spPr>
    </xdr:pic>
    <xdr:clientData/>
  </xdr:twoCellAnchor>
  <xdr:twoCellAnchor editAs="oneCell">
    <xdr:from>
      <xdr:col>15</xdr:col>
      <xdr:colOff>0</xdr:colOff>
      <xdr:row>0</xdr:row>
      <xdr:rowOff>0</xdr:rowOff>
    </xdr:from>
    <xdr:to>
      <xdr:col>25</xdr:col>
      <xdr:colOff>58009</xdr:colOff>
      <xdr:row>37</xdr:row>
      <xdr:rowOff>105724</xdr:rowOff>
    </xdr:to>
    <xdr:pic>
      <xdr:nvPicPr>
        <xdr:cNvPr id="3" name="Picture 2">
          <a:extLst>
            <a:ext uri="{FF2B5EF4-FFF2-40B4-BE49-F238E27FC236}">
              <a16:creationId xmlns:a16="http://schemas.microsoft.com/office/drawing/2014/main" id="{5E2B1B43-3AAB-4184-84CE-CD51BBCE5453}"/>
            </a:ext>
          </a:extLst>
        </xdr:cNvPr>
        <xdr:cNvPicPr>
          <a:picLocks noChangeAspect="1"/>
        </xdr:cNvPicPr>
      </xdr:nvPicPr>
      <xdr:blipFill>
        <a:blip xmlns:r="http://schemas.openxmlformats.org/officeDocument/2006/relationships" r:embed="rId2"/>
        <a:stretch>
          <a:fillRect/>
        </a:stretch>
      </xdr:blipFill>
      <xdr:spPr>
        <a:xfrm>
          <a:off x="9144000" y="0"/>
          <a:ext cx="6154009" cy="715422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105981</xdr:colOff>
      <xdr:row>49</xdr:row>
      <xdr:rowOff>163185</xdr:rowOff>
    </xdr:to>
    <xdr:pic>
      <xdr:nvPicPr>
        <xdr:cNvPr id="2" name="Picture 1">
          <a:extLst>
            <a:ext uri="{FF2B5EF4-FFF2-40B4-BE49-F238E27FC236}">
              <a16:creationId xmlns:a16="http://schemas.microsoft.com/office/drawing/2014/main" id="{E09E9F7B-EDEB-4792-B87D-EB9E9181E755}"/>
            </a:ext>
          </a:extLst>
        </xdr:cNvPr>
        <xdr:cNvPicPr>
          <a:picLocks noChangeAspect="1"/>
        </xdr:cNvPicPr>
      </xdr:nvPicPr>
      <xdr:blipFill>
        <a:blip xmlns:r="http://schemas.openxmlformats.org/officeDocument/2006/relationships" r:embed="rId1"/>
        <a:stretch>
          <a:fillRect/>
        </a:stretch>
      </xdr:blipFill>
      <xdr:spPr>
        <a:xfrm>
          <a:off x="0" y="0"/>
          <a:ext cx="8640381" cy="9497685"/>
        </a:xfrm>
        <a:prstGeom prst="rect">
          <a:avLst/>
        </a:prstGeom>
      </xdr:spPr>
    </xdr:pic>
    <xdr:clientData/>
  </xdr:twoCellAnchor>
  <xdr:twoCellAnchor editAs="oneCell">
    <xdr:from>
      <xdr:col>15</xdr:col>
      <xdr:colOff>0</xdr:colOff>
      <xdr:row>0</xdr:row>
      <xdr:rowOff>0</xdr:rowOff>
    </xdr:from>
    <xdr:to>
      <xdr:col>38</xdr:col>
      <xdr:colOff>49589</xdr:colOff>
      <xdr:row>41</xdr:row>
      <xdr:rowOff>86773</xdr:rowOff>
    </xdr:to>
    <xdr:pic>
      <xdr:nvPicPr>
        <xdr:cNvPr id="3" name="Picture 2">
          <a:extLst>
            <a:ext uri="{FF2B5EF4-FFF2-40B4-BE49-F238E27FC236}">
              <a16:creationId xmlns:a16="http://schemas.microsoft.com/office/drawing/2014/main" id="{3C2888C6-3F2F-4DC9-B3CB-E84C03830A6F}"/>
            </a:ext>
          </a:extLst>
        </xdr:cNvPr>
        <xdr:cNvPicPr>
          <a:picLocks noChangeAspect="1"/>
        </xdr:cNvPicPr>
      </xdr:nvPicPr>
      <xdr:blipFill>
        <a:blip xmlns:r="http://schemas.openxmlformats.org/officeDocument/2006/relationships" r:embed="rId2"/>
        <a:stretch>
          <a:fillRect/>
        </a:stretch>
      </xdr:blipFill>
      <xdr:spPr>
        <a:xfrm>
          <a:off x="9144000" y="0"/>
          <a:ext cx="14070389" cy="7897273"/>
        </a:xfrm>
        <a:prstGeom prst="rect">
          <a:avLst/>
        </a:prstGeom>
      </xdr:spPr>
    </xdr:pic>
    <xdr:clientData/>
  </xdr:twoCellAnchor>
  <xdr:twoCellAnchor editAs="oneCell">
    <xdr:from>
      <xdr:col>15</xdr:col>
      <xdr:colOff>0</xdr:colOff>
      <xdr:row>43</xdr:row>
      <xdr:rowOff>0</xdr:rowOff>
    </xdr:from>
    <xdr:to>
      <xdr:col>25</xdr:col>
      <xdr:colOff>505746</xdr:colOff>
      <xdr:row>48</xdr:row>
      <xdr:rowOff>104916</xdr:rowOff>
    </xdr:to>
    <xdr:pic>
      <xdr:nvPicPr>
        <xdr:cNvPr id="4" name="Picture 3">
          <a:extLst>
            <a:ext uri="{FF2B5EF4-FFF2-40B4-BE49-F238E27FC236}">
              <a16:creationId xmlns:a16="http://schemas.microsoft.com/office/drawing/2014/main" id="{8B9968FA-CFBC-4A38-B33B-CAA030BDBFF4}"/>
            </a:ext>
          </a:extLst>
        </xdr:cNvPr>
        <xdr:cNvPicPr>
          <a:picLocks noChangeAspect="1"/>
        </xdr:cNvPicPr>
      </xdr:nvPicPr>
      <xdr:blipFill>
        <a:blip xmlns:r="http://schemas.openxmlformats.org/officeDocument/2006/relationships" r:embed="rId3"/>
        <a:stretch>
          <a:fillRect/>
        </a:stretch>
      </xdr:blipFill>
      <xdr:spPr>
        <a:xfrm>
          <a:off x="9144000" y="8191500"/>
          <a:ext cx="6601746" cy="105741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885826</xdr:colOff>
      <xdr:row>25</xdr:row>
      <xdr:rowOff>1</xdr:rowOff>
    </xdr:from>
    <xdr:to>
      <xdr:col>5</xdr:col>
      <xdr:colOff>982981</xdr:colOff>
      <xdr:row>39</xdr:row>
      <xdr:rowOff>62865</xdr:rowOff>
    </xdr:to>
    <xdr:graphicFrame macro="">
      <xdr:nvGraphicFramePr>
        <xdr:cNvPr id="2" name="Chart 1">
          <a:extLst>
            <a:ext uri="{FF2B5EF4-FFF2-40B4-BE49-F238E27FC236}">
              <a16:creationId xmlns:a16="http://schemas.microsoft.com/office/drawing/2014/main" id="{C4D5A90D-A9A1-461E-AFFC-1656268F12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xdr:colOff>
      <xdr:row>10</xdr:row>
      <xdr:rowOff>15240</xdr:rowOff>
    </xdr:from>
    <xdr:to>
      <xdr:col>5</xdr:col>
      <xdr:colOff>990600</xdr:colOff>
      <xdr:row>24</xdr:row>
      <xdr:rowOff>91440</xdr:rowOff>
    </xdr:to>
    <xdr:graphicFrame macro="">
      <xdr:nvGraphicFramePr>
        <xdr:cNvPr id="3" name="Chart 2">
          <a:extLst>
            <a:ext uri="{FF2B5EF4-FFF2-40B4-BE49-F238E27FC236}">
              <a16:creationId xmlns:a16="http://schemas.microsoft.com/office/drawing/2014/main" id="{1C519680-CBAD-4F1F-9578-0BAB804282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5</xdr:row>
      <xdr:rowOff>119062</xdr:rowOff>
    </xdr:from>
    <xdr:to>
      <xdr:col>9</xdr:col>
      <xdr:colOff>152400</xdr:colOff>
      <xdr:row>20</xdr:row>
      <xdr:rowOff>4762</xdr:rowOff>
    </xdr:to>
    <xdr:graphicFrame macro="">
      <xdr:nvGraphicFramePr>
        <xdr:cNvPr id="2" name="Chart 1">
          <a:extLst>
            <a:ext uri="{FF2B5EF4-FFF2-40B4-BE49-F238E27FC236}">
              <a16:creationId xmlns:a16="http://schemas.microsoft.com/office/drawing/2014/main" id="{1F5D877C-612D-47C9-88A3-EE26FB77C0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157162</xdr:rowOff>
    </xdr:from>
    <xdr:to>
      <xdr:col>9</xdr:col>
      <xdr:colOff>180974</xdr:colOff>
      <xdr:row>40</xdr:row>
      <xdr:rowOff>42862</xdr:rowOff>
    </xdr:to>
    <xdr:graphicFrame macro="">
      <xdr:nvGraphicFramePr>
        <xdr:cNvPr id="3" name="Chart 2">
          <a:extLst>
            <a:ext uri="{FF2B5EF4-FFF2-40B4-BE49-F238E27FC236}">
              <a16:creationId xmlns:a16="http://schemas.microsoft.com/office/drawing/2014/main" id="{2028DF70-D5D0-445E-AEAD-5EB4F730D7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154305</xdr:colOff>
      <xdr:row>5</xdr:row>
      <xdr:rowOff>179069</xdr:rowOff>
    </xdr:from>
    <xdr:to>
      <xdr:col>5</xdr:col>
      <xdr:colOff>664845</xdr:colOff>
      <xdr:row>22</xdr:row>
      <xdr:rowOff>146684</xdr:rowOff>
    </xdr:to>
    <xdr:graphicFrame macro="">
      <xdr:nvGraphicFramePr>
        <xdr:cNvPr id="2" name="Chart 1">
          <a:extLst>
            <a:ext uri="{FF2B5EF4-FFF2-40B4-BE49-F238E27FC236}">
              <a16:creationId xmlns:a16="http://schemas.microsoft.com/office/drawing/2014/main" id="{E3799B0D-4313-4710-BC62-0ED7109A53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2026%20Ferry%20Fare%20Proposal/Revenue%20Target%20Report/Drafts/2024%20Expenditure%20Summary.xlsx" TargetMode="External"/><Relationship Id="rId2" Type="http://schemas.openxmlformats.org/officeDocument/2006/relationships/externalLinkPath" Target="file:///\\Admntmv2\pw\shared\Ferry\2026%20Ferry%20Fare%20Proposal\Revenue%20Target%20Report\Drafts\2024%20Expenditure%20Summary.xlsx" TargetMode="External"/><Relationship Id="rId1" Type="http://schemas.openxmlformats.org/officeDocument/2006/relationships/externalLinkPath" Target="/shared/Ferry/2026%20Ferry%20Fare%20Proposal/Revenue%20Target%20Report/Drafts/2024%20Expenditure%20Summary.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Expenditures"/>
    </sheetNames>
    <sheetDataSet>
      <sheetData sheetId="0">
        <row r="35">
          <cell r="B35" t="str">
            <v>Obj. 510 - Salaries &amp; Wages</v>
          </cell>
          <cell r="C35"/>
          <cell r="D35"/>
        </row>
        <row r="36">
          <cell r="B36" t="str">
            <v>Obj. 520 - Personnel Benefits</v>
          </cell>
          <cell r="C36"/>
          <cell r="D36"/>
        </row>
        <row r="37">
          <cell r="B37" t="str">
            <v>Obj. 530 - Supplies/Consumables</v>
          </cell>
          <cell r="C37"/>
          <cell r="D37"/>
        </row>
        <row r="38">
          <cell r="B38" t="str">
            <v>Obj. 540 - Services &amp; Pass Through Payments</v>
          </cell>
          <cell r="C38"/>
          <cell r="D38"/>
        </row>
        <row r="39">
          <cell r="B39" t="str">
            <v>Obj. 560 - Capital Outlays</v>
          </cell>
          <cell r="C39"/>
          <cell r="D39"/>
        </row>
      </sheetData>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4.bin"/><Relationship Id="rId1" Type="http://schemas.openxmlformats.org/officeDocument/2006/relationships/hyperlink" Target="https://www.seattle.gov/economic-and-revenue-forecasts/inflation" TargetMode="External"/><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A9CE4-1A47-4D4C-828E-175074C7BC0E}">
  <sheetPr>
    <pageSetUpPr fitToPage="1"/>
  </sheetPr>
  <dimension ref="A1:AQ74"/>
  <sheetViews>
    <sheetView showGridLines="0" topLeftCell="A15" workbookViewId="0">
      <selection activeCell="B39" sqref="B39:E39"/>
    </sheetView>
  </sheetViews>
  <sheetFormatPr defaultColWidth="10.75" defaultRowHeight="15.75" x14ac:dyDescent="0.25"/>
  <cols>
    <col min="1" max="1" width="45.75" style="1" customWidth="1"/>
    <col min="2" max="5" width="11" style="1" customWidth="1"/>
    <col min="6" max="16384" width="10.75" style="1"/>
  </cols>
  <sheetData>
    <row r="1" spans="1:6" ht="18" x14ac:dyDescent="0.25">
      <c r="A1" s="207" t="s">
        <v>142</v>
      </c>
      <c r="B1" s="472" t="s">
        <v>94</v>
      </c>
      <c r="C1" s="473"/>
      <c r="D1" s="473"/>
      <c r="E1" s="474"/>
      <c r="F1"/>
    </row>
    <row r="2" spans="1:6" ht="18" x14ac:dyDescent="0.25">
      <c r="A2" s="207" t="s">
        <v>134</v>
      </c>
      <c r="B2" s="479" t="s">
        <v>292</v>
      </c>
      <c r="C2" s="480"/>
      <c r="D2" s="483" t="s">
        <v>291</v>
      </c>
      <c r="E2" s="480"/>
      <c r="F2"/>
    </row>
    <row r="3" spans="1:6" x14ac:dyDescent="0.25">
      <c r="A3" s="208" t="s">
        <v>293</v>
      </c>
      <c r="B3" s="51" t="s">
        <v>81</v>
      </c>
      <c r="C3" s="51" t="s">
        <v>82</v>
      </c>
      <c r="D3" s="51" t="s">
        <v>81</v>
      </c>
      <c r="E3" s="211" t="s">
        <v>82</v>
      </c>
      <c r="F3"/>
    </row>
    <row r="4" spans="1:6" x14ac:dyDescent="0.25">
      <c r="A4" s="209" t="s">
        <v>114</v>
      </c>
      <c r="B4" s="53"/>
      <c r="C4" s="53"/>
      <c r="D4" s="53"/>
      <c r="E4" s="212"/>
      <c r="F4"/>
    </row>
    <row r="5" spans="1:6" x14ac:dyDescent="0.25">
      <c r="A5" s="210" t="s">
        <v>1</v>
      </c>
      <c r="B5" s="54">
        <f>'Fare Schedules Print '!H8</f>
        <v>6.75</v>
      </c>
      <c r="C5" s="55">
        <f>'Fare Schedules Print '!I8</f>
        <v>8.5</v>
      </c>
      <c r="D5" s="54">
        <f>'Fare Schedules Print '!J8</f>
        <v>7.5</v>
      </c>
      <c r="E5" s="55">
        <f>'Fare Schedules Print '!K8</f>
        <v>9.5</v>
      </c>
      <c r="F5"/>
    </row>
    <row r="6" spans="1:6" x14ac:dyDescent="0.25">
      <c r="A6" s="210" t="s">
        <v>83</v>
      </c>
      <c r="B6" s="54">
        <f>'Fare Schedules Print '!H9</f>
        <v>4.5</v>
      </c>
      <c r="C6" s="55">
        <f>'Fare Schedules Print '!I9</f>
        <v>5</v>
      </c>
      <c r="D6" s="54">
        <f>'Fare Schedules Print '!J9</f>
        <v>5</v>
      </c>
      <c r="E6" s="55">
        <f>'Fare Schedules Print '!K9</f>
        <v>5.75</v>
      </c>
      <c r="F6"/>
    </row>
    <row r="7" spans="1:6" x14ac:dyDescent="0.25">
      <c r="A7" s="210" t="s">
        <v>84</v>
      </c>
      <c r="B7" s="54" t="str">
        <f>'Fare Schedules Print '!H10</f>
        <v>Free</v>
      </c>
      <c r="C7" s="55" t="str">
        <f>'Fare Schedules Print '!I10</f>
        <v>Free</v>
      </c>
      <c r="D7" s="54" t="str">
        <f>'Fare Schedules Print '!J10</f>
        <v>Free</v>
      </c>
      <c r="E7" s="55" t="str">
        <f>'Fare Schedules Print '!K10</f>
        <v>Free</v>
      </c>
      <c r="F7"/>
    </row>
    <row r="8" spans="1:6" x14ac:dyDescent="0.25">
      <c r="A8" s="210" t="s">
        <v>67</v>
      </c>
      <c r="B8" s="54">
        <f>'Fare Schedules Print '!H11</f>
        <v>8.5</v>
      </c>
      <c r="C8" s="55">
        <f>'Fare Schedules Print '!I11</f>
        <v>10.75</v>
      </c>
      <c r="D8" s="54">
        <f>'Fare Schedules Print '!J11</f>
        <v>9.5</v>
      </c>
      <c r="E8" s="55">
        <f>'Fare Schedules Print '!K11</f>
        <v>12</v>
      </c>
    </row>
    <row r="9" spans="1:6" x14ac:dyDescent="0.25">
      <c r="A9" s="210" t="s">
        <v>85</v>
      </c>
      <c r="B9" s="54">
        <f>'Fare Schedules Print '!H12</f>
        <v>6.5</v>
      </c>
      <c r="C9" s="55">
        <f>'Fare Schedules Print '!I12</f>
        <v>7.25</v>
      </c>
      <c r="D9" s="54">
        <f>'Fare Schedules Print '!J12</f>
        <v>7.25</v>
      </c>
      <c r="E9" s="55">
        <f>'Fare Schedules Print '!K12</f>
        <v>8.25</v>
      </c>
      <c r="F9"/>
    </row>
    <row r="10" spans="1:6" ht="18.75" x14ac:dyDescent="0.25">
      <c r="A10" s="209" t="s">
        <v>115</v>
      </c>
      <c r="B10" s="56"/>
      <c r="C10" s="56"/>
      <c r="D10" s="56"/>
      <c r="E10" s="213"/>
      <c r="F10"/>
    </row>
    <row r="11" spans="1:6" x14ac:dyDescent="0.25">
      <c r="A11" s="210" t="s">
        <v>4</v>
      </c>
      <c r="B11" s="99">
        <f>'Fare Schedules Print '!H14</f>
        <v>153.75</v>
      </c>
      <c r="C11" s="99">
        <f>'Fare Schedules Print '!I14</f>
        <v>197.5</v>
      </c>
      <c r="D11" s="99">
        <f>'Fare Schedules Print '!J14</f>
        <v>172.5</v>
      </c>
      <c r="E11" s="214">
        <f>'Fare Schedules Print '!K14</f>
        <v>222.5</v>
      </c>
      <c r="F11"/>
    </row>
    <row r="12" spans="1:6" x14ac:dyDescent="0.25">
      <c r="A12" s="210" t="s">
        <v>86</v>
      </c>
      <c r="B12" s="99">
        <f>'Fare Schedules Print '!H15</f>
        <v>106</v>
      </c>
      <c r="C12" s="99">
        <f>'Fare Schedules Print '!I15</f>
        <v>118.5</v>
      </c>
      <c r="D12" s="99">
        <f>'Fare Schedules Print '!J15</f>
        <v>118.5</v>
      </c>
      <c r="E12" s="214">
        <f>'Fare Schedules Print '!K15</f>
        <v>137.25</v>
      </c>
      <c r="F12"/>
    </row>
    <row r="13" spans="1:6" x14ac:dyDescent="0.25">
      <c r="A13" s="209" t="s">
        <v>87</v>
      </c>
      <c r="B13" s="56"/>
      <c r="C13" s="56"/>
      <c r="D13" s="56"/>
      <c r="E13" s="213"/>
      <c r="F13"/>
    </row>
    <row r="14" spans="1:6" x14ac:dyDescent="0.25">
      <c r="A14" s="210" t="s">
        <v>7</v>
      </c>
      <c r="B14" s="57">
        <f>'Fare Schedules Print '!H17</f>
        <v>12.5</v>
      </c>
      <c r="C14" s="57">
        <f>'Fare Schedules Print '!I17</f>
        <v>17.5</v>
      </c>
      <c r="D14" s="57">
        <f>'Fare Schedules Print '!J17</f>
        <v>14</v>
      </c>
      <c r="E14" s="215">
        <f>'Fare Schedules Print '!K17</f>
        <v>19.75</v>
      </c>
      <c r="F14"/>
    </row>
    <row r="15" spans="1:6" x14ac:dyDescent="0.25">
      <c r="A15" s="210" t="s">
        <v>43</v>
      </c>
      <c r="B15" s="57">
        <f>'Fare Schedules Print '!H18</f>
        <v>21.5</v>
      </c>
      <c r="C15" s="57">
        <f>'Fare Schedules Print '!I18</f>
        <v>26.5</v>
      </c>
      <c r="D15" s="57">
        <f>'Fare Schedules Print '!J18</f>
        <v>24.25</v>
      </c>
      <c r="E15" s="215">
        <f>'Fare Schedules Print '!K18</f>
        <v>29.75</v>
      </c>
      <c r="F15"/>
    </row>
    <row r="16" spans="1:6" x14ac:dyDescent="0.25">
      <c r="A16" s="210" t="s">
        <v>59</v>
      </c>
      <c r="B16" s="57">
        <f>'Fare Schedules Print '!H19</f>
        <v>17.5</v>
      </c>
      <c r="C16" s="57">
        <f>'Fare Schedules Print '!I19</f>
        <v>21.5</v>
      </c>
      <c r="D16" s="57">
        <f>'Fare Schedules Print '!J19</f>
        <v>19.75</v>
      </c>
      <c r="E16" s="215">
        <f>'Fare Schedules Print '!K19</f>
        <v>24.25</v>
      </c>
      <c r="F16"/>
    </row>
    <row r="17" spans="1:6" ht="18.75" x14ac:dyDescent="0.25">
      <c r="A17" s="209" t="s">
        <v>116</v>
      </c>
      <c r="B17" s="56"/>
      <c r="C17" s="56"/>
      <c r="D17" s="56"/>
      <c r="E17" s="213"/>
      <c r="F17"/>
    </row>
    <row r="18" spans="1:6" x14ac:dyDescent="0.25">
      <c r="A18" s="210" t="s">
        <v>47</v>
      </c>
      <c r="B18" s="57">
        <f>'Fare Schedules Print '!H21</f>
        <v>416</v>
      </c>
      <c r="C18" s="57">
        <f>'Fare Schedules Print '!I21</f>
        <v>496</v>
      </c>
      <c r="D18" s="57">
        <f>'Fare Schedules Print '!J21</f>
        <v>471</v>
      </c>
      <c r="E18" s="215">
        <f>'Fare Schedules Print '!K21</f>
        <v>561</v>
      </c>
      <c r="F18"/>
    </row>
    <row r="19" spans="1:6" x14ac:dyDescent="0.25">
      <c r="A19" s="210" t="s">
        <v>61</v>
      </c>
      <c r="B19" s="57">
        <f>'Fare Schedules Print '!H22</f>
        <v>330</v>
      </c>
      <c r="C19" s="57">
        <f>'Fare Schedules Print '!I22</f>
        <v>410</v>
      </c>
      <c r="D19" s="57">
        <f>'Fare Schedules Print '!J22</f>
        <v>375</v>
      </c>
      <c r="E19" s="215">
        <f>'Fare Schedules Print '!K22</f>
        <v>465</v>
      </c>
      <c r="F19"/>
    </row>
    <row r="20" spans="1:6" x14ac:dyDescent="0.25">
      <c r="A20" s="210" t="s">
        <v>301</v>
      </c>
      <c r="B20" s="57">
        <f>'Fare Schedules Print '!H23</f>
        <v>245</v>
      </c>
      <c r="C20" s="57">
        <f>'Fare Schedules Print '!I23</f>
        <v>325</v>
      </c>
      <c r="D20" s="57">
        <f>'Fare Schedules Print '!J23</f>
        <v>275</v>
      </c>
      <c r="E20" s="215">
        <f>'Fare Schedules Print '!K23</f>
        <v>370</v>
      </c>
      <c r="F20"/>
    </row>
    <row r="21" spans="1:6" x14ac:dyDescent="0.25">
      <c r="A21" s="209" t="s">
        <v>88</v>
      </c>
      <c r="B21" s="56"/>
      <c r="C21" s="56"/>
      <c r="D21" s="56"/>
      <c r="E21" s="213"/>
      <c r="F21"/>
    </row>
    <row r="22" spans="1:6" ht="16.899999999999999" customHeight="1" x14ac:dyDescent="0.25">
      <c r="A22" s="210" t="s">
        <v>89</v>
      </c>
      <c r="B22" s="58">
        <f>'Fare Schedules Print '!H25</f>
        <v>71</v>
      </c>
      <c r="C22" s="58">
        <f>'Fare Schedules Print '!I25</f>
        <v>88</v>
      </c>
      <c r="D22" s="58">
        <f>'Fare Schedules Print '!J25</f>
        <v>80.5</v>
      </c>
      <c r="E22" s="216">
        <f>'Fare Schedules Print '!K25</f>
        <v>99.5</v>
      </c>
      <c r="F22"/>
    </row>
    <row r="23" spans="1:6" ht="16.899999999999999" customHeight="1" x14ac:dyDescent="0.25">
      <c r="A23" s="209" t="s">
        <v>90</v>
      </c>
      <c r="B23" s="56"/>
      <c r="C23" s="56"/>
      <c r="D23" s="56"/>
      <c r="E23" s="213"/>
      <c r="F23"/>
    </row>
    <row r="24" spans="1:6" x14ac:dyDescent="0.25">
      <c r="A24" s="210" t="s">
        <v>48</v>
      </c>
      <c r="B24" s="57">
        <f>'Fare Schedules Print '!H27</f>
        <v>33.5</v>
      </c>
      <c r="C24" s="57">
        <f>'Fare Schedules Print '!I27</f>
        <v>42</v>
      </c>
      <c r="D24" s="57">
        <f>'Fare Schedules Print '!J27</f>
        <v>37.75</v>
      </c>
      <c r="E24" s="215">
        <f>'Fare Schedules Print '!K27</f>
        <v>47</v>
      </c>
      <c r="F24"/>
    </row>
    <row r="25" spans="1:6" x14ac:dyDescent="0.25">
      <c r="A25" s="210" t="s">
        <v>49</v>
      </c>
      <c r="B25" s="57">
        <f>'Fare Schedules Print '!H28</f>
        <v>66.25</v>
      </c>
      <c r="C25" s="57">
        <f>'Fare Schedules Print '!I28</f>
        <v>80.5</v>
      </c>
      <c r="D25" s="57">
        <f>'Fare Schedules Print '!J28</f>
        <v>74.5</v>
      </c>
      <c r="E25" s="215">
        <f>'Fare Schedules Print '!K28</f>
        <v>90.25</v>
      </c>
      <c r="F25"/>
    </row>
    <row r="26" spans="1:6" x14ac:dyDescent="0.25">
      <c r="A26" s="210" t="s">
        <v>50</v>
      </c>
      <c r="B26" s="57">
        <f>'Fare Schedules Print '!H29</f>
        <v>99</v>
      </c>
      <c r="C26" s="57">
        <f>'Fare Schedules Print '!I29</f>
        <v>123.25</v>
      </c>
      <c r="D26" s="57">
        <f>'Fare Schedules Print '!J29</f>
        <v>111.25</v>
      </c>
      <c r="E26" s="215">
        <f>'Fare Schedules Print '!K29</f>
        <v>138</v>
      </c>
      <c r="F26"/>
    </row>
    <row r="27" spans="1:6" x14ac:dyDescent="0.25">
      <c r="A27" s="210" t="s">
        <v>51</v>
      </c>
      <c r="B27" s="57">
        <f>'Fare Schedules Print '!H30</f>
        <v>144.5</v>
      </c>
      <c r="C27" s="57">
        <f>'Fare Schedules Print '!I30</f>
        <v>168.5</v>
      </c>
      <c r="D27" s="57">
        <f>'Fare Schedules Print '!J30</f>
        <v>162</v>
      </c>
      <c r="E27" s="215">
        <f>'Fare Schedules Print '!K30</f>
        <v>188.75</v>
      </c>
      <c r="F27"/>
    </row>
    <row r="28" spans="1:6" x14ac:dyDescent="0.25">
      <c r="A28" s="210" t="s">
        <v>52</v>
      </c>
      <c r="B28" s="57">
        <f>'Fare Schedules Print '!H31</f>
        <v>24.75</v>
      </c>
      <c r="C28" s="57">
        <f>'Fare Schedules Print '!I31</f>
        <v>28.5</v>
      </c>
      <c r="D28" s="57">
        <f>'Fare Schedules Print '!J31</f>
        <v>27.75</v>
      </c>
      <c r="E28" s="215">
        <f>'Fare Schedules Print '!K31</f>
        <v>32</v>
      </c>
      <c r="F28"/>
    </row>
    <row r="29" spans="1:6" x14ac:dyDescent="0.25">
      <c r="A29" s="210" t="s">
        <v>91</v>
      </c>
      <c r="B29" s="481" t="s">
        <v>72</v>
      </c>
      <c r="C29" s="482"/>
      <c r="D29" s="481" t="s">
        <v>72</v>
      </c>
      <c r="E29" s="484"/>
      <c r="F29"/>
    </row>
    <row r="30" spans="1:6" x14ac:dyDescent="0.25">
      <c r="A30" s="209" t="s">
        <v>92</v>
      </c>
      <c r="B30" s="56"/>
      <c r="C30" s="56"/>
      <c r="D30" s="56"/>
      <c r="E30" s="213"/>
      <c r="F30"/>
    </row>
    <row r="31" spans="1:6" x14ac:dyDescent="0.25">
      <c r="A31" s="210" t="s">
        <v>48</v>
      </c>
      <c r="B31" s="57">
        <f>'Fare Schedules Print '!H34</f>
        <v>167.5</v>
      </c>
      <c r="C31" s="57">
        <f>'Fare Schedules Print '!I34</f>
        <v>210</v>
      </c>
      <c r="D31" s="57">
        <f>'Fare Schedules Print '!J34</f>
        <v>188.75</v>
      </c>
      <c r="E31" s="215">
        <f>'Fare Schedules Print '!K34</f>
        <v>235</v>
      </c>
      <c r="F31"/>
    </row>
    <row r="32" spans="1:6" x14ac:dyDescent="0.25">
      <c r="A32" s="210" t="s">
        <v>49</v>
      </c>
      <c r="B32" s="57">
        <f>'Fare Schedules Print '!H35</f>
        <v>331.25</v>
      </c>
      <c r="C32" s="57">
        <f>'Fare Schedules Print '!I35</f>
        <v>402.5</v>
      </c>
      <c r="D32" s="57">
        <f>'Fare Schedules Print '!J35</f>
        <v>372.5</v>
      </c>
      <c r="E32" s="215">
        <f>'Fare Schedules Print '!K35</f>
        <v>451.25</v>
      </c>
      <c r="F32"/>
    </row>
    <row r="33" spans="1:43" x14ac:dyDescent="0.25">
      <c r="A33" s="210" t="s">
        <v>50</v>
      </c>
      <c r="B33" s="57">
        <f>'Fare Schedules Print '!H36</f>
        <v>495</v>
      </c>
      <c r="C33" s="57">
        <f>'Fare Schedules Print '!I36</f>
        <v>616.25</v>
      </c>
      <c r="D33" s="57">
        <f>'Fare Schedules Print '!J36</f>
        <v>556.25</v>
      </c>
      <c r="E33" s="215">
        <f>'Fare Schedules Print '!K36</f>
        <v>690</v>
      </c>
      <c r="F33"/>
    </row>
    <row r="34" spans="1:43" x14ac:dyDescent="0.25">
      <c r="A34" s="210" t="s">
        <v>51</v>
      </c>
      <c r="B34" s="57">
        <f>'Fare Schedules Print '!H37</f>
        <v>722.5</v>
      </c>
      <c r="C34" s="57">
        <f>'Fare Schedules Print '!I37</f>
        <v>842.5</v>
      </c>
      <c r="D34" s="57">
        <f>'Fare Schedules Print '!J37</f>
        <v>810</v>
      </c>
      <c r="E34" s="215">
        <f>'Fare Schedules Print '!K37</f>
        <v>943.75</v>
      </c>
      <c r="F34"/>
    </row>
    <row r="35" spans="1:43" x14ac:dyDescent="0.25">
      <c r="A35" s="209" t="s">
        <v>93</v>
      </c>
      <c r="B35" s="52"/>
      <c r="C35" s="52"/>
      <c r="D35" s="52"/>
      <c r="E35" s="217"/>
      <c r="F35"/>
    </row>
    <row r="36" spans="1:43" ht="34.5" customHeight="1" x14ac:dyDescent="0.25">
      <c r="A36" s="218" t="s">
        <v>118</v>
      </c>
      <c r="B36" s="476">
        <f>'26-27Cost&amp;RevPerHour'!C72</f>
        <v>636.75657346817366</v>
      </c>
      <c r="C36" s="477"/>
      <c r="D36" s="477"/>
      <c r="E36" s="478"/>
    </row>
    <row r="37" spans="1:43" ht="34.5" customHeight="1" x14ac:dyDescent="0.25">
      <c r="A37" s="218" t="s">
        <v>117</v>
      </c>
      <c r="B37" s="476">
        <f>'26-27Cost&amp;RevPerHour'!C73</f>
        <v>859.62137418203451</v>
      </c>
      <c r="C37" s="477"/>
      <c r="D37" s="477"/>
      <c r="E37" s="478"/>
      <c r="F37"/>
      <c r="G37"/>
      <c r="H37"/>
      <c r="I37"/>
      <c r="J37"/>
      <c r="K37"/>
      <c r="L37"/>
    </row>
    <row r="38" spans="1:43" ht="37.5" customHeight="1" x14ac:dyDescent="0.25">
      <c r="A38" s="218" t="s">
        <v>119</v>
      </c>
      <c r="B38" s="476">
        <f>'26-27Cost&amp;RevPerHour'!C74</f>
        <v>2853.8290643818027</v>
      </c>
      <c r="C38" s="477"/>
      <c r="D38" s="477"/>
      <c r="E38" s="478"/>
      <c r="F38"/>
      <c r="G38"/>
      <c r="H38"/>
      <c r="I38"/>
      <c r="J38"/>
      <c r="K38"/>
      <c r="L38"/>
    </row>
    <row r="39" spans="1:43" ht="53.25" customHeight="1" x14ac:dyDescent="0.25">
      <c r="A39" s="218" t="s">
        <v>299</v>
      </c>
      <c r="B39" s="476">
        <f>'26-27Cost&amp;RevPerHour'!C75</f>
        <v>581.28970711723855</v>
      </c>
      <c r="C39" s="477"/>
      <c r="D39" s="477"/>
      <c r="E39" s="478"/>
      <c r="F39"/>
      <c r="G39"/>
      <c r="H39"/>
      <c r="I39"/>
      <c r="J39"/>
      <c r="K39"/>
      <c r="L39"/>
    </row>
    <row r="40" spans="1:43" x14ac:dyDescent="0.25">
      <c r="A40" s="219"/>
      <c r="B40" s="49"/>
      <c r="C40" s="49"/>
      <c r="D40" s="49"/>
      <c r="E40" s="49"/>
      <c r="F40"/>
      <c r="G40"/>
      <c r="H40"/>
      <c r="I40"/>
      <c r="J40"/>
      <c r="K40"/>
      <c r="L40"/>
    </row>
    <row r="41" spans="1:43" x14ac:dyDescent="0.25">
      <c r="A41" s="475"/>
      <c r="B41" s="475"/>
      <c r="C41" s="475"/>
      <c r="D41" s="475"/>
      <c r="E41" s="475"/>
      <c r="F41"/>
      <c r="G41"/>
      <c r="H41"/>
      <c r="I41"/>
      <c r="J41"/>
      <c r="K41"/>
      <c r="L41"/>
    </row>
    <row r="42" spans="1:43" x14ac:dyDescent="0.25">
      <c r="A42" s="2"/>
      <c r="B42"/>
      <c r="C42"/>
      <c r="D42"/>
      <c r="E42"/>
      <c r="F42"/>
      <c r="G42"/>
      <c r="H42"/>
      <c r="I42"/>
      <c r="J42"/>
      <c r="K42"/>
      <c r="L42"/>
    </row>
    <row r="43" spans="1:43" x14ac:dyDescent="0.25">
      <c r="A43" s="475"/>
      <c r="B43" s="475"/>
      <c r="C43" s="475"/>
      <c r="D43" s="475"/>
      <c r="E43" s="475"/>
      <c r="F43"/>
      <c r="G43"/>
      <c r="H43"/>
      <c r="I43"/>
      <c r="J43"/>
      <c r="K43"/>
      <c r="L43"/>
    </row>
    <row r="44" spans="1:43" customFormat="1" x14ac:dyDescent="0.25">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row>
    <row r="45" spans="1:43" customFormat="1" x14ac:dyDescent="0.25">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row>
    <row r="46" spans="1:43" x14ac:dyDescent="0.25">
      <c r="A46"/>
      <c r="B46"/>
      <c r="C46"/>
      <c r="D46"/>
      <c r="E46"/>
      <c r="F46"/>
      <c r="G46"/>
      <c r="H46"/>
      <c r="I46"/>
      <c r="J46"/>
      <c r="K46"/>
      <c r="L46"/>
    </row>
    <row r="47" spans="1:43" x14ac:dyDescent="0.25">
      <c r="A47"/>
      <c r="B47"/>
      <c r="C47"/>
      <c r="D47"/>
      <c r="E47"/>
      <c r="F47"/>
      <c r="G47"/>
      <c r="H47"/>
      <c r="I47"/>
      <c r="J47"/>
      <c r="K47"/>
      <c r="L47"/>
    </row>
    <row r="48" spans="1:43" customFormat="1" x14ac:dyDescent="0.25">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row>
    <row r="49" spans="7:43" customFormat="1" x14ac:dyDescent="0.25">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row>
    <row r="50" spans="7:43" customFormat="1" x14ac:dyDescent="0.25">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row>
    <row r="51" spans="7:43" customFormat="1" x14ac:dyDescent="0.25">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row>
    <row r="52" spans="7:43" customFormat="1" x14ac:dyDescent="0.25">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row>
    <row r="53" spans="7:43" customFormat="1" x14ac:dyDescent="0.25">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row>
    <row r="54" spans="7:43" customFormat="1" x14ac:dyDescent="0.25">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row>
    <row r="55" spans="7:43" customFormat="1" x14ac:dyDescent="0.25">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row>
    <row r="56" spans="7:43" customFormat="1" x14ac:dyDescent="0.25">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row>
    <row r="57" spans="7:43" customFormat="1" x14ac:dyDescent="0.25">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row>
    <row r="58" spans="7:43" customFormat="1" x14ac:dyDescent="0.25">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row>
    <row r="59" spans="7:43" customFormat="1" x14ac:dyDescent="0.25">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row>
    <row r="60" spans="7:43" customFormat="1" x14ac:dyDescent="0.25">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row>
    <row r="61" spans="7:43" customFormat="1" x14ac:dyDescent="0.25">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row>
    <row r="62" spans="7:43" customFormat="1" x14ac:dyDescent="0.25">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row>
    <row r="63" spans="7:43" customFormat="1" x14ac:dyDescent="0.25">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row>
    <row r="64" spans="7:43" customFormat="1" x14ac:dyDescent="0.25">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row>
    <row r="65" spans="1:43" customFormat="1" x14ac:dyDescent="0.25">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row>
    <row r="66" spans="1:43" customFormat="1" x14ac:dyDescent="0.25">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row>
    <row r="67" spans="1:43" customFormat="1" x14ac:dyDescent="0.25">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row>
    <row r="68" spans="1:43" customFormat="1" x14ac:dyDescent="0.25">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row>
    <row r="69" spans="1:43" customFormat="1" x14ac:dyDescent="0.25">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row>
    <row r="70" spans="1:43" customFormat="1" x14ac:dyDescent="0.25">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row>
    <row r="71" spans="1:43" customFormat="1" x14ac:dyDescent="0.25">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row>
    <row r="72" spans="1:43" x14ac:dyDescent="0.25">
      <c r="A72"/>
      <c r="B72"/>
      <c r="C72"/>
      <c r="D72"/>
      <c r="E72"/>
      <c r="F72"/>
    </row>
    <row r="73" spans="1:43" customFormat="1" x14ac:dyDescent="0.25">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row>
    <row r="74" spans="1:43" customFormat="1" x14ac:dyDescent="0.25">
      <c r="A74" s="59"/>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row>
  </sheetData>
  <mergeCells count="11">
    <mergeCell ref="B1:E1"/>
    <mergeCell ref="A43:E43"/>
    <mergeCell ref="B36:E36"/>
    <mergeCell ref="B37:E37"/>
    <mergeCell ref="B39:E39"/>
    <mergeCell ref="B38:E38"/>
    <mergeCell ref="B2:C2"/>
    <mergeCell ref="B29:C29"/>
    <mergeCell ref="A41:E41"/>
    <mergeCell ref="D2:E2"/>
    <mergeCell ref="D29:E29"/>
  </mergeCells>
  <pageMargins left="0.2" right="0.2" top="0.25" bottom="0.25" header="0.75" footer="0.3"/>
  <pageSetup orientation="portrait" verticalDpi="4294967295"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BA6FF-7937-3E43-8CFA-7635CDF3A9A5}">
  <sheetPr>
    <pageSetUpPr fitToPage="1"/>
  </sheetPr>
  <dimension ref="A1:AQ76"/>
  <sheetViews>
    <sheetView showGridLines="0" topLeftCell="A16" workbookViewId="0">
      <selection activeCell="A31" sqref="A31"/>
    </sheetView>
  </sheetViews>
  <sheetFormatPr defaultColWidth="10.75" defaultRowHeight="15.75" x14ac:dyDescent="0.25"/>
  <cols>
    <col min="1" max="1" width="39" style="1" customWidth="1"/>
    <col min="2" max="15" width="11" style="1" customWidth="1"/>
    <col min="16" max="24" width="11.25"/>
    <col min="25" max="27" width="10.75" style="1" customWidth="1"/>
    <col min="28" max="32" width="10.75" style="1"/>
    <col min="33" max="33" width="11.25"/>
    <col min="34" max="40" width="10.75" style="1"/>
    <col min="41" max="41" width="11.25" customWidth="1"/>
    <col min="42" max="16384" width="10.75" style="1"/>
  </cols>
  <sheetData>
    <row r="1" spans="1:43" ht="18" x14ac:dyDescent="0.25">
      <c r="A1" s="8" t="s">
        <v>143</v>
      </c>
      <c r="AP1"/>
      <c r="AQ1"/>
    </row>
    <row r="2" spans="1:43" x14ac:dyDescent="0.25">
      <c r="B2" s="486" t="s">
        <v>133</v>
      </c>
      <c r="C2" s="487"/>
      <c r="D2" s="487"/>
      <c r="E2" s="488"/>
      <c r="H2" s="486" t="s">
        <v>134</v>
      </c>
      <c r="I2" s="487"/>
      <c r="J2" s="487"/>
      <c r="K2" s="488"/>
      <c r="AP2"/>
      <c r="AQ2"/>
    </row>
    <row r="3" spans="1:43" ht="5.25" customHeight="1" x14ac:dyDescent="0.25">
      <c r="B3" s="22"/>
      <c r="C3" s="22"/>
      <c r="D3" s="22"/>
      <c r="E3" s="22"/>
      <c r="H3" s="22"/>
      <c r="I3" s="22"/>
      <c r="J3" s="22"/>
      <c r="K3" s="22"/>
      <c r="AP3"/>
      <c r="AQ3"/>
    </row>
    <row r="4" spans="1:43" x14ac:dyDescent="0.25">
      <c r="B4" s="503" t="s">
        <v>144</v>
      </c>
      <c r="C4" s="504"/>
      <c r="D4" s="505" t="s">
        <v>145</v>
      </c>
      <c r="E4" s="503"/>
      <c r="F4" s="498" t="s">
        <v>38</v>
      </c>
      <c r="G4" s="498"/>
      <c r="H4" s="499" t="s">
        <v>144</v>
      </c>
      <c r="I4" s="500"/>
      <c r="J4" s="501" t="s">
        <v>145</v>
      </c>
      <c r="K4" s="499"/>
      <c r="L4" s="37"/>
      <c r="M4" s="37"/>
      <c r="N4" s="37"/>
      <c r="O4" s="37"/>
      <c r="Y4"/>
      <c r="Z4"/>
      <c r="AA4"/>
      <c r="AB4"/>
      <c r="AC4"/>
      <c r="AD4"/>
      <c r="AE4"/>
      <c r="AF4"/>
      <c r="AH4"/>
      <c r="AI4"/>
      <c r="AJ4"/>
      <c r="AK4"/>
      <c r="AL4"/>
      <c r="AM4"/>
      <c r="AN4" s="34"/>
      <c r="AP4"/>
      <c r="AQ4"/>
    </row>
    <row r="5" spans="1:43" x14ac:dyDescent="0.25">
      <c r="B5" s="510" t="s">
        <v>70</v>
      </c>
      <c r="C5" s="511"/>
      <c r="D5" s="512" t="s">
        <v>70</v>
      </c>
      <c r="E5" s="510"/>
      <c r="F5" s="498" t="s">
        <v>132</v>
      </c>
      <c r="G5" s="498"/>
      <c r="H5" s="506" t="s">
        <v>73</v>
      </c>
      <c r="I5" s="507"/>
      <c r="J5" s="508" t="s">
        <v>73</v>
      </c>
      <c r="K5" s="509"/>
      <c r="L5" s="37"/>
      <c r="M5" s="37"/>
      <c r="N5" s="37"/>
      <c r="O5" s="37"/>
      <c r="Y5"/>
      <c r="Z5"/>
      <c r="AA5"/>
      <c r="AB5"/>
      <c r="AC5"/>
      <c r="AD5"/>
      <c r="AE5"/>
      <c r="AF5"/>
      <c r="AH5"/>
      <c r="AI5"/>
      <c r="AJ5"/>
      <c r="AK5"/>
      <c r="AL5"/>
      <c r="AM5"/>
      <c r="AN5"/>
      <c r="AP5"/>
      <c r="AQ5"/>
    </row>
    <row r="6" spans="1:43" x14ac:dyDescent="0.25">
      <c r="B6" s="110" t="s">
        <v>35</v>
      </c>
      <c r="C6" s="111" t="s">
        <v>34</v>
      </c>
      <c r="D6" s="112" t="s">
        <v>35</v>
      </c>
      <c r="E6" s="113" t="s">
        <v>34</v>
      </c>
      <c r="F6" s="114" t="s">
        <v>35</v>
      </c>
      <c r="G6" s="115" t="s">
        <v>34</v>
      </c>
      <c r="H6" s="117" t="s">
        <v>35</v>
      </c>
      <c r="I6" s="118" t="s">
        <v>34</v>
      </c>
      <c r="J6" s="119" t="s">
        <v>35</v>
      </c>
      <c r="K6" s="116" t="s">
        <v>34</v>
      </c>
      <c r="L6" s="37"/>
      <c r="M6" s="37"/>
      <c r="N6" s="37"/>
      <c r="O6" s="37"/>
      <c r="Y6"/>
      <c r="Z6"/>
      <c r="AA6"/>
      <c r="AB6"/>
      <c r="AC6"/>
      <c r="AD6"/>
      <c r="AE6"/>
      <c r="AF6"/>
      <c r="AH6"/>
      <c r="AI6"/>
      <c r="AJ6"/>
      <c r="AK6"/>
      <c r="AL6"/>
      <c r="AM6"/>
      <c r="AN6"/>
      <c r="AP6"/>
      <c r="AQ6"/>
    </row>
    <row r="7" spans="1:43" x14ac:dyDescent="0.25">
      <c r="A7" s="489" t="s">
        <v>135</v>
      </c>
      <c r="B7" s="489"/>
      <c r="C7" s="489"/>
      <c r="D7" s="489"/>
      <c r="E7" s="489"/>
      <c r="F7" s="489"/>
      <c r="G7" s="489"/>
      <c r="H7" s="489"/>
      <c r="I7" s="489"/>
      <c r="J7" s="489"/>
      <c r="K7" s="489"/>
      <c r="L7" s="37"/>
      <c r="M7" s="37"/>
      <c r="N7" s="37"/>
      <c r="O7" s="37"/>
      <c r="P7" s="1"/>
      <c r="Y7"/>
      <c r="Z7"/>
      <c r="AA7"/>
      <c r="AB7"/>
      <c r="AC7"/>
      <c r="AD7"/>
      <c r="AE7"/>
      <c r="AF7"/>
      <c r="AH7"/>
      <c r="AI7"/>
      <c r="AJ7"/>
      <c r="AK7"/>
      <c r="AL7"/>
      <c r="AM7"/>
      <c r="AN7"/>
      <c r="AP7"/>
      <c r="AQ7"/>
    </row>
    <row r="8" spans="1:43" x14ac:dyDescent="0.25">
      <c r="A8" s="36" t="s">
        <v>1</v>
      </c>
      <c r="B8" s="109">
        <f>H8-F8</f>
        <v>5.75</v>
      </c>
      <c r="C8" s="109">
        <f>I8-G8</f>
        <v>7.5</v>
      </c>
      <c r="D8" s="105">
        <f>'Fare Inputs'!H90</f>
        <v>6.5</v>
      </c>
      <c r="E8" s="109">
        <f>'Fare Inputs'!I90</f>
        <v>8.5</v>
      </c>
      <c r="F8" s="40">
        <v>1</v>
      </c>
      <c r="G8" s="102">
        <v>1</v>
      </c>
      <c r="H8" s="108">
        <f>'Fare Inputs'!F90</f>
        <v>6.75</v>
      </c>
      <c r="I8" s="108">
        <f>'Fare Inputs'!G90</f>
        <v>8.5</v>
      </c>
      <c r="J8" s="107">
        <f>'Fare Inputs'!L90</f>
        <v>7.5</v>
      </c>
      <c r="K8" s="108">
        <f>'Fare Inputs'!M90</f>
        <v>9.5</v>
      </c>
      <c r="L8" s="38"/>
      <c r="M8" s="38"/>
      <c r="N8" s="38"/>
      <c r="O8" s="38"/>
      <c r="Y8"/>
      <c r="Z8"/>
      <c r="AA8"/>
      <c r="AB8"/>
      <c r="AC8"/>
      <c r="AD8"/>
      <c r="AE8"/>
      <c r="AF8"/>
      <c r="AH8"/>
      <c r="AI8"/>
      <c r="AJ8"/>
      <c r="AK8"/>
      <c r="AL8"/>
      <c r="AM8"/>
      <c r="AN8"/>
      <c r="AP8"/>
      <c r="AQ8"/>
    </row>
    <row r="9" spans="1:43" x14ac:dyDescent="0.25">
      <c r="A9" s="36" t="s">
        <v>2</v>
      </c>
      <c r="B9" s="109">
        <f>H9-F9</f>
        <v>4</v>
      </c>
      <c r="C9" s="109">
        <f>I9-G9</f>
        <v>4.5</v>
      </c>
      <c r="D9" s="105">
        <f>'Fare Inputs'!H91</f>
        <v>4.5</v>
      </c>
      <c r="E9" s="109">
        <f>'Fare Inputs'!I91</f>
        <v>5.25</v>
      </c>
      <c r="F9" s="40">
        <v>0.5</v>
      </c>
      <c r="G9" s="102">
        <v>0.5</v>
      </c>
      <c r="H9" s="108">
        <f>'Fare Inputs'!F91</f>
        <v>4.5</v>
      </c>
      <c r="I9" s="108">
        <f>'Fare Inputs'!G91</f>
        <v>5</v>
      </c>
      <c r="J9" s="107">
        <f>'Fare Inputs'!L91</f>
        <v>5</v>
      </c>
      <c r="K9" s="108">
        <f>'Fare Inputs'!M91</f>
        <v>5.75</v>
      </c>
      <c r="L9" s="38"/>
      <c r="M9" s="38"/>
      <c r="N9" s="38"/>
      <c r="O9" s="23"/>
      <c r="Y9"/>
      <c r="Z9"/>
      <c r="AA9"/>
      <c r="AB9"/>
      <c r="AC9"/>
      <c r="AD9"/>
      <c r="AE9"/>
      <c r="AF9"/>
      <c r="AH9"/>
      <c r="AI9"/>
      <c r="AJ9"/>
      <c r="AK9"/>
      <c r="AL9"/>
      <c r="AM9"/>
      <c r="AN9"/>
      <c r="AP9"/>
      <c r="AQ9"/>
    </row>
    <row r="10" spans="1:43" x14ac:dyDescent="0.25">
      <c r="A10" s="36" t="s">
        <v>3</v>
      </c>
      <c r="B10" s="109" t="s">
        <v>69</v>
      </c>
      <c r="C10" s="104" t="s">
        <v>69</v>
      </c>
      <c r="D10" s="106" t="s">
        <v>69</v>
      </c>
      <c r="E10" s="104" t="s">
        <v>69</v>
      </c>
      <c r="F10" s="40"/>
      <c r="G10" s="102"/>
      <c r="H10" s="108" t="s">
        <v>69</v>
      </c>
      <c r="I10" s="108" t="s">
        <v>69</v>
      </c>
      <c r="J10" s="107" t="s">
        <v>69</v>
      </c>
      <c r="K10" s="108" t="s">
        <v>69</v>
      </c>
      <c r="L10" s="38"/>
      <c r="M10" s="38"/>
      <c r="N10" s="38"/>
      <c r="O10" s="38"/>
      <c r="Y10"/>
      <c r="Z10"/>
      <c r="AA10"/>
      <c r="AB10"/>
      <c r="AC10"/>
      <c r="AD10"/>
      <c r="AE10"/>
      <c r="AF10"/>
      <c r="AH10"/>
      <c r="AI10"/>
      <c r="AJ10"/>
      <c r="AK10"/>
      <c r="AL10"/>
      <c r="AM10"/>
      <c r="AN10"/>
      <c r="AP10"/>
      <c r="AQ10"/>
    </row>
    <row r="11" spans="1:43" x14ac:dyDescent="0.25">
      <c r="A11" s="36" t="s">
        <v>67</v>
      </c>
      <c r="B11" s="109">
        <f>H11-F11</f>
        <v>7.5</v>
      </c>
      <c r="C11" s="109">
        <f>I11-G11</f>
        <v>9.75</v>
      </c>
      <c r="D11" s="105">
        <f>'Fare Inputs'!H93</f>
        <v>8.5</v>
      </c>
      <c r="E11" s="109">
        <f>'Fare Inputs'!I93</f>
        <v>11</v>
      </c>
      <c r="F11" s="40">
        <v>1</v>
      </c>
      <c r="G11" s="102">
        <v>1</v>
      </c>
      <c r="H11" s="108">
        <f>'Fare Inputs'!F93</f>
        <v>8.5</v>
      </c>
      <c r="I11" s="108">
        <f>'Fare Inputs'!G93</f>
        <v>10.75</v>
      </c>
      <c r="J11" s="107">
        <f>'Fare Inputs'!L93</f>
        <v>9.5</v>
      </c>
      <c r="K11" s="108">
        <f>'Fare Inputs'!M93</f>
        <v>12</v>
      </c>
      <c r="L11" s="38"/>
      <c r="M11" s="38"/>
      <c r="N11" s="38"/>
      <c r="O11" s="38"/>
      <c r="Y11"/>
      <c r="Z11"/>
      <c r="AA11"/>
      <c r="AB11"/>
      <c r="AC11"/>
      <c r="AD11"/>
      <c r="AE11"/>
      <c r="AF11"/>
      <c r="AH11"/>
      <c r="AI11"/>
      <c r="AJ11"/>
      <c r="AK11"/>
      <c r="AL11"/>
      <c r="AM11"/>
      <c r="AN11"/>
      <c r="AP11"/>
      <c r="AQ11"/>
    </row>
    <row r="12" spans="1:43" x14ac:dyDescent="0.25">
      <c r="A12" s="36" t="s">
        <v>111</v>
      </c>
      <c r="B12" s="109">
        <f>H12-F12</f>
        <v>6</v>
      </c>
      <c r="C12" s="109">
        <f>I12-G12</f>
        <v>6.75</v>
      </c>
      <c r="D12" s="105">
        <f>'Fare Inputs'!H94</f>
        <v>6.75</v>
      </c>
      <c r="E12" s="109">
        <f>'Fare Inputs'!I94</f>
        <v>7.75</v>
      </c>
      <c r="F12" s="40">
        <v>0.5</v>
      </c>
      <c r="G12" s="102">
        <v>0.5</v>
      </c>
      <c r="H12" s="108">
        <f>'Fare Inputs'!F94</f>
        <v>6.5</v>
      </c>
      <c r="I12" s="108">
        <f>'Fare Inputs'!G94</f>
        <v>7.25</v>
      </c>
      <c r="J12" s="107">
        <f>'Fare Inputs'!L94</f>
        <v>7.25</v>
      </c>
      <c r="K12" s="108">
        <f>'Fare Inputs'!M94</f>
        <v>8.25</v>
      </c>
      <c r="L12" s="38"/>
      <c r="M12" s="38"/>
      <c r="N12" s="38"/>
      <c r="O12" s="38"/>
      <c r="Y12"/>
      <c r="Z12"/>
      <c r="AA12"/>
      <c r="AB12"/>
      <c r="AC12"/>
      <c r="AD12"/>
      <c r="AE12"/>
      <c r="AF12"/>
      <c r="AH12"/>
      <c r="AI12"/>
      <c r="AJ12"/>
      <c r="AK12"/>
      <c r="AL12"/>
      <c r="AM12"/>
      <c r="AN12"/>
      <c r="AP12"/>
      <c r="AQ12"/>
    </row>
    <row r="13" spans="1:43" x14ac:dyDescent="0.25">
      <c r="A13" s="490" t="s">
        <v>136</v>
      </c>
      <c r="B13" s="490"/>
      <c r="C13" s="490"/>
      <c r="D13" s="490"/>
      <c r="E13" s="490"/>
      <c r="F13" s="490"/>
      <c r="G13" s="490"/>
      <c r="H13" s="490"/>
      <c r="I13" s="490"/>
      <c r="J13" s="490"/>
      <c r="K13" s="490"/>
      <c r="L13" s="38"/>
      <c r="M13" s="38"/>
      <c r="N13" s="38"/>
      <c r="O13" s="38"/>
      <c r="P13" s="1"/>
      <c r="Y13"/>
      <c r="Z13"/>
      <c r="AA13"/>
      <c r="AB13"/>
      <c r="AC13"/>
      <c r="AD13"/>
      <c r="AE13"/>
      <c r="AF13"/>
      <c r="AH13"/>
      <c r="AI13"/>
      <c r="AJ13"/>
      <c r="AK13"/>
      <c r="AL13"/>
      <c r="AM13"/>
      <c r="AN13"/>
      <c r="AP13"/>
      <c r="AQ13"/>
    </row>
    <row r="14" spans="1:43" x14ac:dyDescent="0.25">
      <c r="A14" s="36" t="s">
        <v>4</v>
      </c>
      <c r="B14" s="109">
        <f>H14-F14</f>
        <v>143.75</v>
      </c>
      <c r="C14" s="109">
        <f>I14-G14</f>
        <v>187.5</v>
      </c>
      <c r="D14" s="105">
        <f>'Fare Inputs'!H96</f>
        <v>162.5</v>
      </c>
      <c r="E14" s="109">
        <f>'Fare Inputs'!I96</f>
        <v>212.5</v>
      </c>
      <c r="F14" s="40">
        <v>10</v>
      </c>
      <c r="G14" s="102">
        <v>10</v>
      </c>
      <c r="H14" s="108">
        <f>'Fare Inputs'!F96</f>
        <v>153.75</v>
      </c>
      <c r="I14" s="108">
        <f>'Fare Inputs'!G96</f>
        <v>197.5</v>
      </c>
      <c r="J14" s="107">
        <f>'Fare Inputs'!L96</f>
        <v>172.5</v>
      </c>
      <c r="K14" s="108">
        <f>'Fare Inputs'!M96</f>
        <v>222.5</v>
      </c>
      <c r="L14" s="38"/>
      <c r="M14" s="38"/>
      <c r="N14" s="38"/>
      <c r="O14" s="38"/>
      <c r="Y14"/>
      <c r="Z14"/>
      <c r="AA14"/>
      <c r="AB14"/>
      <c r="AC14"/>
      <c r="AD14"/>
      <c r="AE14"/>
      <c r="AF14"/>
      <c r="AH14"/>
      <c r="AI14"/>
      <c r="AJ14"/>
      <c r="AK14"/>
      <c r="AL14"/>
      <c r="AM14"/>
      <c r="AN14"/>
      <c r="AP14"/>
      <c r="AQ14"/>
    </row>
    <row r="15" spans="1:43" x14ac:dyDescent="0.25">
      <c r="A15" s="36" t="s">
        <v>5</v>
      </c>
      <c r="B15" s="109">
        <f>H15-F15</f>
        <v>100</v>
      </c>
      <c r="C15" s="109">
        <f>I15-G15</f>
        <v>112.5</v>
      </c>
      <c r="D15" s="105">
        <f>'Fare Inputs'!H97</f>
        <v>112.5</v>
      </c>
      <c r="E15" s="109">
        <f>'Fare Inputs'!I97</f>
        <v>131.25</v>
      </c>
      <c r="F15" s="40">
        <v>6</v>
      </c>
      <c r="G15" s="102">
        <v>6</v>
      </c>
      <c r="H15" s="108">
        <f>'Fare Inputs'!F97</f>
        <v>106</v>
      </c>
      <c r="I15" s="108">
        <f>'Fare Inputs'!G97</f>
        <v>118.5</v>
      </c>
      <c r="J15" s="107">
        <f>'Fare Inputs'!L97</f>
        <v>118.5</v>
      </c>
      <c r="K15" s="108">
        <f>'Fare Inputs'!M97</f>
        <v>137.25</v>
      </c>
      <c r="L15" s="38"/>
      <c r="M15" s="38"/>
      <c r="N15" s="38"/>
      <c r="O15" s="38"/>
      <c r="Y15"/>
      <c r="Z15"/>
      <c r="AA15"/>
      <c r="AB15"/>
      <c r="AC15"/>
      <c r="AD15"/>
      <c r="AE15"/>
      <c r="AF15"/>
      <c r="AH15"/>
      <c r="AI15"/>
      <c r="AJ15"/>
      <c r="AK15"/>
      <c r="AL15"/>
      <c r="AM15"/>
      <c r="AN15"/>
      <c r="AP15"/>
      <c r="AQ15"/>
    </row>
    <row r="16" spans="1:43" x14ac:dyDescent="0.25">
      <c r="A16" s="490" t="s">
        <v>137</v>
      </c>
      <c r="B16" s="490"/>
      <c r="C16" s="490"/>
      <c r="D16" s="490"/>
      <c r="E16" s="490"/>
      <c r="F16" s="490"/>
      <c r="G16" s="490"/>
      <c r="H16" s="490"/>
      <c r="I16" s="490"/>
      <c r="J16" s="490"/>
      <c r="K16" s="490"/>
      <c r="L16" s="38"/>
      <c r="M16" s="38"/>
      <c r="N16" s="38"/>
      <c r="O16" s="38"/>
      <c r="P16" s="1"/>
      <c r="Y16"/>
      <c r="Z16"/>
      <c r="AA16"/>
      <c r="AB16"/>
      <c r="AC16"/>
      <c r="AD16"/>
      <c r="AE16"/>
      <c r="AF16"/>
      <c r="AH16"/>
      <c r="AI16"/>
      <c r="AJ16"/>
      <c r="AK16"/>
      <c r="AL16"/>
      <c r="AM16"/>
      <c r="AN16"/>
      <c r="AP16"/>
      <c r="AQ16"/>
    </row>
    <row r="17" spans="1:43" x14ac:dyDescent="0.25">
      <c r="A17" s="36" t="s">
        <v>7</v>
      </c>
      <c r="B17" s="109">
        <f t="shared" ref="B17:C19" si="0">H17-F17</f>
        <v>11.5</v>
      </c>
      <c r="C17" s="109">
        <f t="shared" si="0"/>
        <v>15.5</v>
      </c>
      <c r="D17" s="105">
        <f>'Fare Inputs'!H100</f>
        <v>13</v>
      </c>
      <c r="E17" s="109">
        <f>'Fare Inputs'!I100</f>
        <v>17.75</v>
      </c>
      <c r="F17" s="40">
        <v>1</v>
      </c>
      <c r="G17" s="102">
        <v>2</v>
      </c>
      <c r="H17" s="108">
        <f>'Fare Inputs'!F100</f>
        <v>12.5</v>
      </c>
      <c r="I17" s="108">
        <f>'Fare Inputs'!G100</f>
        <v>17.5</v>
      </c>
      <c r="J17" s="107">
        <f>'Fare Inputs'!L100</f>
        <v>14</v>
      </c>
      <c r="K17" s="108">
        <f>'Fare Inputs'!M100</f>
        <v>19.75</v>
      </c>
      <c r="L17" s="38"/>
      <c r="M17" s="38"/>
      <c r="N17" s="38"/>
      <c r="O17" s="38"/>
      <c r="P17" s="21"/>
      <c r="Y17"/>
      <c r="Z17"/>
      <c r="AA17"/>
      <c r="AB17"/>
      <c r="AC17"/>
      <c r="AD17"/>
      <c r="AE17"/>
      <c r="AF17"/>
      <c r="AH17"/>
      <c r="AI17"/>
      <c r="AJ17"/>
      <c r="AK17"/>
      <c r="AL17"/>
      <c r="AM17"/>
      <c r="AN17"/>
      <c r="AP17"/>
      <c r="AQ17"/>
    </row>
    <row r="18" spans="1:43" x14ac:dyDescent="0.25">
      <c r="A18" s="36" t="s">
        <v>43</v>
      </c>
      <c r="B18" s="109">
        <f t="shared" si="0"/>
        <v>19.5</v>
      </c>
      <c r="C18" s="109">
        <f t="shared" si="0"/>
        <v>23.5</v>
      </c>
      <c r="D18" s="105">
        <f>'Fare Inputs'!H101</f>
        <v>22.25</v>
      </c>
      <c r="E18" s="109">
        <f>'Fare Inputs'!I101</f>
        <v>26.75</v>
      </c>
      <c r="F18" s="40">
        <v>2</v>
      </c>
      <c r="G18" s="102">
        <v>3</v>
      </c>
      <c r="H18" s="108">
        <f>'Fare Inputs'!F101</f>
        <v>21.5</v>
      </c>
      <c r="I18" s="108">
        <f>'Fare Inputs'!G101</f>
        <v>26.5</v>
      </c>
      <c r="J18" s="107">
        <f>'Fare Inputs'!L101</f>
        <v>24.25</v>
      </c>
      <c r="K18" s="108">
        <f>'Fare Inputs'!M101</f>
        <v>29.75</v>
      </c>
      <c r="L18" s="38"/>
      <c r="M18" s="38"/>
      <c r="N18" s="38"/>
      <c r="O18" s="38"/>
      <c r="P18" s="21"/>
      <c r="Y18"/>
      <c r="Z18"/>
      <c r="AA18"/>
      <c r="AB18"/>
      <c r="AC18"/>
      <c r="AD18"/>
      <c r="AE18"/>
      <c r="AF18"/>
      <c r="AH18"/>
      <c r="AI18"/>
      <c r="AJ18"/>
      <c r="AK18"/>
      <c r="AL18"/>
      <c r="AM18"/>
      <c r="AN18"/>
      <c r="AP18"/>
      <c r="AQ18"/>
    </row>
    <row r="19" spans="1:43" x14ac:dyDescent="0.25">
      <c r="A19" s="36" t="s">
        <v>59</v>
      </c>
      <c r="B19" s="109">
        <f t="shared" si="0"/>
        <v>15.5</v>
      </c>
      <c r="C19" s="109">
        <f t="shared" si="0"/>
        <v>19.5</v>
      </c>
      <c r="D19" s="105">
        <f>'Fare Inputs'!H102</f>
        <v>17.75</v>
      </c>
      <c r="E19" s="109">
        <f>'Fare Inputs'!I102</f>
        <v>22.25</v>
      </c>
      <c r="F19" s="40">
        <v>2</v>
      </c>
      <c r="G19" s="102">
        <v>2</v>
      </c>
      <c r="H19" s="108">
        <f>'Fare Inputs'!F102</f>
        <v>17.5</v>
      </c>
      <c r="I19" s="108">
        <f>'Fare Inputs'!G102</f>
        <v>21.5</v>
      </c>
      <c r="J19" s="107">
        <f>'Fare Inputs'!L102</f>
        <v>19.75</v>
      </c>
      <c r="K19" s="108">
        <f>'Fare Inputs'!M102</f>
        <v>24.25</v>
      </c>
      <c r="L19" s="38"/>
      <c r="M19" s="38"/>
      <c r="N19" s="38"/>
      <c r="O19" s="38"/>
      <c r="P19" s="21"/>
      <c r="Y19"/>
      <c r="Z19"/>
      <c r="AA19"/>
      <c r="AB19"/>
      <c r="AC19"/>
      <c r="AD19"/>
      <c r="AE19"/>
      <c r="AF19"/>
      <c r="AH19"/>
      <c r="AI19"/>
      <c r="AJ19"/>
      <c r="AK19"/>
      <c r="AL19"/>
      <c r="AM19"/>
      <c r="AN19"/>
      <c r="AP19"/>
      <c r="AQ19"/>
    </row>
    <row r="20" spans="1:43" x14ac:dyDescent="0.25">
      <c r="A20" s="490" t="s">
        <v>138</v>
      </c>
      <c r="B20" s="490"/>
      <c r="C20" s="490"/>
      <c r="D20" s="490"/>
      <c r="E20" s="490"/>
      <c r="F20" s="490"/>
      <c r="G20" s="490"/>
      <c r="H20" s="490"/>
      <c r="I20" s="490"/>
      <c r="J20" s="490"/>
      <c r="K20" s="490"/>
      <c r="L20" s="38"/>
      <c r="M20" s="38"/>
      <c r="N20" s="38"/>
      <c r="O20" s="38"/>
      <c r="P20" s="1"/>
      <c r="Y20"/>
      <c r="Z20"/>
      <c r="AA20"/>
      <c r="AB20"/>
      <c r="AC20"/>
      <c r="AD20"/>
      <c r="AE20"/>
      <c r="AF20"/>
      <c r="AH20"/>
      <c r="AI20"/>
      <c r="AJ20"/>
      <c r="AK20"/>
      <c r="AL20"/>
      <c r="AM20"/>
      <c r="AN20"/>
      <c r="AP20"/>
      <c r="AQ20"/>
    </row>
    <row r="21" spans="1:43" x14ac:dyDescent="0.25">
      <c r="A21" s="36" t="s">
        <v>47</v>
      </c>
      <c r="B21" s="109">
        <f t="shared" ref="B21:C23" si="1">H21-F21</f>
        <v>390</v>
      </c>
      <c r="C21" s="109">
        <f t="shared" si="1"/>
        <v>470</v>
      </c>
      <c r="D21" s="105">
        <f>'Fare Inputs'!H104</f>
        <v>445</v>
      </c>
      <c r="E21" s="109">
        <f>'Fare Inputs'!I104</f>
        <v>535</v>
      </c>
      <c r="F21" s="40">
        <v>26</v>
      </c>
      <c r="G21" s="102">
        <v>26</v>
      </c>
      <c r="H21" s="108">
        <f>'Fare Inputs'!F104</f>
        <v>416</v>
      </c>
      <c r="I21" s="108">
        <f>'Fare Inputs'!G104</f>
        <v>496</v>
      </c>
      <c r="J21" s="107">
        <f>'Fare Inputs'!L104</f>
        <v>471</v>
      </c>
      <c r="K21" s="108">
        <f>'Fare Inputs'!M104</f>
        <v>561</v>
      </c>
      <c r="L21" s="38"/>
      <c r="M21" s="38"/>
      <c r="N21" s="38"/>
      <c r="O21" s="38"/>
      <c r="Y21"/>
      <c r="Z21"/>
      <c r="AA21"/>
      <c r="AB21"/>
      <c r="AC21"/>
      <c r="AD21"/>
      <c r="AE21"/>
      <c r="AF21"/>
      <c r="AH21"/>
      <c r="AI21"/>
      <c r="AJ21"/>
      <c r="AK21"/>
      <c r="AL21"/>
      <c r="AM21"/>
      <c r="AN21"/>
      <c r="AP21"/>
      <c r="AQ21"/>
    </row>
    <row r="22" spans="1:43" x14ac:dyDescent="0.25">
      <c r="A22" s="36" t="s">
        <v>61</v>
      </c>
      <c r="B22" s="109">
        <f t="shared" si="1"/>
        <v>310</v>
      </c>
      <c r="C22" s="109">
        <f t="shared" si="1"/>
        <v>390</v>
      </c>
      <c r="D22" s="105">
        <f>'Fare Inputs'!H105</f>
        <v>355</v>
      </c>
      <c r="E22" s="109">
        <f>'Fare Inputs'!I105</f>
        <v>445</v>
      </c>
      <c r="F22" s="40">
        <v>20</v>
      </c>
      <c r="G22" s="102">
        <v>20</v>
      </c>
      <c r="H22" s="108">
        <f>'Fare Inputs'!F105</f>
        <v>330</v>
      </c>
      <c r="I22" s="108">
        <f>'Fare Inputs'!G105</f>
        <v>410</v>
      </c>
      <c r="J22" s="107">
        <f>'Fare Inputs'!L105</f>
        <v>375</v>
      </c>
      <c r="K22" s="108">
        <f>'Fare Inputs'!M105</f>
        <v>465</v>
      </c>
      <c r="L22" s="38"/>
      <c r="M22" s="38"/>
      <c r="N22" s="38"/>
      <c r="O22" s="38"/>
      <c r="Y22"/>
      <c r="Z22"/>
      <c r="AA22"/>
      <c r="AB22"/>
      <c r="AC22"/>
      <c r="AD22"/>
      <c r="AE22"/>
      <c r="AF22"/>
      <c r="AH22"/>
      <c r="AI22"/>
      <c r="AJ22"/>
      <c r="AK22"/>
      <c r="AL22"/>
      <c r="AM22"/>
      <c r="AN22"/>
      <c r="AP22"/>
      <c r="AQ22"/>
    </row>
    <row r="23" spans="1:43" x14ac:dyDescent="0.25">
      <c r="A23" s="36" t="s">
        <v>301</v>
      </c>
      <c r="B23" s="109">
        <f t="shared" si="1"/>
        <v>230</v>
      </c>
      <c r="C23" s="109">
        <f t="shared" si="1"/>
        <v>310</v>
      </c>
      <c r="D23" s="105">
        <f>'Fare Inputs'!H106</f>
        <v>260</v>
      </c>
      <c r="E23" s="109">
        <f>'Fare Inputs'!I106</f>
        <v>355</v>
      </c>
      <c r="F23" s="40">
        <v>15</v>
      </c>
      <c r="G23" s="102">
        <v>15</v>
      </c>
      <c r="H23" s="108">
        <f>'Fare Inputs'!F106</f>
        <v>245</v>
      </c>
      <c r="I23" s="108">
        <f>'Fare Inputs'!G106</f>
        <v>325</v>
      </c>
      <c r="J23" s="107">
        <f>'Fare Inputs'!L106</f>
        <v>275</v>
      </c>
      <c r="K23" s="108">
        <f>'Fare Inputs'!M106</f>
        <v>370</v>
      </c>
      <c r="L23" s="38"/>
      <c r="M23" s="38"/>
      <c r="N23" s="38"/>
      <c r="O23" s="38"/>
      <c r="P23" s="21"/>
      <c r="Y23"/>
      <c r="Z23"/>
      <c r="AA23"/>
      <c r="AB23"/>
      <c r="AC23"/>
      <c r="AD23"/>
      <c r="AE23"/>
      <c r="AF23"/>
      <c r="AH23"/>
      <c r="AI23"/>
      <c r="AJ23"/>
      <c r="AK23"/>
      <c r="AL23"/>
      <c r="AM23"/>
      <c r="AN23"/>
      <c r="AP23"/>
      <c r="AQ23"/>
    </row>
    <row r="24" spans="1:43" x14ac:dyDescent="0.25">
      <c r="A24" s="490" t="s">
        <v>141</v>
      </c>
      <c r="B24" s="490"/>
      <c r="C24" s="490"/>
      <c r="D24" s="490"/>
      <c r="E24" s="490"/>
      <c r="F24" s="490"/>
      <c r="G24" s="490"/>
      <c r="H24" s="490"/>
      <c r="I24" s="490"/>
      <c r="J24" s="490"/>
      <c r="K24" s="490"/>
      <c r="L24" s="38"/>
      <c r="M24" s="38"/>
      <c r="N24" s="38"/>
      <c r="O24" s="38"/>
      <c r="P24" s="1"/>
      <c r="Y24"/>
      <c r="Z24"/>
      <c r="AA24"/>
      <c r="AB24"/>
      <c r="AC24"/>
      <c r="AD24"/>
      <c r="AE24"/>
      <c r="AF24"/>
      <c r="AH24"/>
      <c r="AI24"/>
      <c r="AJ24"/>
      <c r="AK24"/>
      <c r="AL24"/>
      <c r="AM24"/>
      <c r="AN24"/>
      <c r="AP24"/>
      <c r="AQ24"/>
    </row>
    <row r="25" spans="1:43" ht="16.899999999999999" customHeight="1" x14ac:dyDescent="0.25">
      <c r="A25" s="36" t="s">
        <v>89</v>
      </c>
      <c r="B25" s="109">
        <f>H25-F25</f>
        <v>66</v>
      </c>
      <c r="C25" s="109">
        <f>I25-G25</f>
        <v>83</v>
      </c>
      <c r="D25" s="105">
        <f>'Fare Inputs'!H108</f>
        <v>75.5</v>
      </c>
      <c r="E25" s="109">
        <f>'Fare Inputs'!I108</f>
        <v>94.5</v>
      </c>
      <c r="F25" s="40">
        <v>5</v>
      </c>
      <c r="G25" s="102">
        <v>5</v>
      </c>
      <c r="H25" s="108">
        <f>'Fare Inputs'!F108</f>
        <v>71</v>
      </c>
      <c r="I25" s="108">
        <f>'Fare Inputs'!G108</f>
        <v>88</v>
      </c>
      <c r="J25" s="107">
        <f>'Fare Inputs'!L108</f>
        <v>80.5</v>
      </c>
      <c r="K25" s="108">
        <f>'Fare Inputs'!M108</f>
        <v>99.5</v>
      </c>
      <c r="L25" s="38"/>
      <c r="M25" s="38"/>
      <c r="N25" s="38"/>
      <c r="O25" s="38"/>
      <c r="Y25"/>
      <c r="Z25"/>
      <c r="AA25"/>
      <c r="AB25"/>
      <c r="AC25"/>
      <c r="AD25"/>
      <c r="AE25"/>
      <c r="AF25"/>
      <c r="AH25"/>
      <c r="AI25"/>
      <c r="AJ25"/>
      <c r="AK25"/>
      <c r="AL25"/>
      <c r="AM25"/>
      <c r="AN25"/>
      <c r="AP25"/>
      <c r="AQ25"/>
    </row>
    <row r="26" spans="1:43" ht="16.899999999999999" customHeight="1" x14ac:dyDescent="0.25">
      <c r="A26" s="490" t="s">
        <v>139</v>
      </c>
      <c r="B26" s="490"/>
      <c r="C26" s="490"/>
      <c r="D26" s="490"/>
      <c r="E26" s="490"/>
      <c r="F26" s="490"/>
      <c r="G26" s="490"/>
      <c r="H26" s="490"/>
      <c r="I26" s="490"/>
      <c r="J26" s="490"/>
      <c r="K26" s="490"/>
      <c r="L26" s="38"/>
      <c r="M26" s="38"/>
      <c r="N26" s="38"/>
      <c r="O26" s="38"/>
      <c r="P26" s="1"/>
      <c r="Y26"/>
      <c r="Z26"/>
      <c r="AA26"/>
      <c r="AB26"/>
      <c r="AC26"/>
      <c r="AD26"/>
      <c r="AE26"/>
      <c r="AF26"/>
      <c r="AH26"/>
      <c r="AI26"/>
      <c r="AJ26"/>
      <c r="AK26"/>
      <c r="AL26"/>
      <c r="AM26"/>
      <c r="AN26"/>
      <c r="AP26"/>
      <c r="AQ26"/>
    </row>
    <row r="27" spans="1:43" x14ac:dyDescent="0.25">
      <c r="A27" s="36" t="s">
        <v>48</v>
      </c>
      <c r="B27" s="109">
        <f t="shared" ref="B27:C31" si="2">H27-F27</f>
        <v>29.5</v>
      </c>
      <c r="C27" s="109">
        <f t="shared" si="2"/>
        <v>36</v>
      </c>
      <c r="D27" s="105">
        <f>'Fare Inputs'!H110</f>
        <v>33.75</v>
      </c>
      <c r="E27" s="109">
        <f>'Fare Inputs'!I110</f>
        <v>41</v>
      </c>
      <c r="F27" s="40">
        <v>4</v>
      </c>
      <c r="G27" s="102">
        <v>6</v>
      </c>
      <c r="H27" s="108">
        <f>'Fare Inputs'!F110</f>
        <v>33.5</v>
      </c>
      <c r="I27" s="108">
        <f>'Fare Inputs'!G110</f>
        <v>42</v>
      </c>
      <c r="J27" s="107">
        <f>'Fare Inputs'!L110</f>
        <v>37.75</v>
      </c>
      <c r="K27" s="108">
        <f>'Fare Inputs'!M110</f>
        <v>47</v>
      </c>
      <c r="L27" s="38"/>
      <c r="M27" s="38"/>
      <c r="N27" s="38"/>
      <c r="O27" s="38"/>
      <c r="Y27"/>
      <c r="Z27"/>
      <c r="AA27"/>
      <c r="AB27"/>
      <c r="AC27"/>
      <c r="AD27"/>
      <c r="AE27"/>
      <c r="AF27"/>
      <c r="AH27"/>
      <c r="AI27"/>
      <c r="AJ27"/>
      <c r="AK27"/>
      <c r="AL27"/>
      <c r="AM27"/>
      <c r="AN27"/>
      <c r="AP27"/>
      <c r="AQ27"/>
    </row>
    <row r="28" spans="1:43" x14ac:dyDescent="0.25">
      <c r="A28" s="36" t="s">
        <v>49</v>
      </c>
      <c r="B28" s="109">
        <f t="shared" si="2"/>
        <v>58.25</v>
      </c>
      <c r="C28" s="109">
        <f t="shared" si="2"/>
        <v>69.5</v>
      </c>
      <c r="D28" s="105">
        <f>'Fare Inputs'!H111</f>
        <v>66.5</v>
      </c>
      <c r="E28" s="109">
        <f>'Fare Inputs'!I111</f>
        <v>79.25</v>
      </c>
      <c r="F28" s="40">
        <v>8</v>
      </c>
      <c r="G28" s="102">
        <v>11</v>
      </c>
      <c r="H28" s="108">
        <f>'Fare Inputs'!F111</f>
        <v>66.25</v>
      </c>
      <c r="I28" s="108">
        <f>'Fare Inputs'!G111</f>
        <v>80.5</v>
      </c>
      <c r="J28" s="107">
        <f>'Fare Inputs'!L111</f>
        <v>74.5</v>
      </c>
      <c r="K28" s="108">
        <f>'Fare Inputs'!M111</f>
        <v>90.25</v>
      </c>
      <c r="L28" s="38"/>
      <c r="M28" s="38"/>
      <c r="N28" s="38"/>
      <c r="O28" s="38"/>
      <c r="Y28"/>
      <c r="Z28"/>
      <c r="AA28"/>
      <c r="AB28"/>
      <c r="AC28"/>
      <c r="AD28"/>
      <c r="AE28"/>
      <c r="AF28"/>
      <c r="AH28"/>
      <c r="AI28"/>
      <c r="AJ28"/>
      <c r="AK28"/>
      <c r="AL28"/>
      <c r="AM28"/>
      <c r="AN28"/>
      <c r="AP28"/>
      <c r="AQ28"/>
    </row>
    <row r="29" spans="1:43" x14ac:dyDescent="0.25">
      <c r="A29" s="36" t="s">
        <v>50</v>
      </c>
      <c r="B29" s="109">
        <f t="shared" si="2"/>
        <v>88</v>
      </c>
      <c r="C29" s="109">
        <f t="shared" si="2"/>
        <v>105.25</v>
      </c>
      <c r="D29" s="105">
        <f>'Fare Inputs'!H112</f>
        <v>100.25</v>
      </c>
      <c r="E29" s="109">
        <f>'Fare Inputs'!I112</f>
        <v>120</v>
      </c>
      <c r="F29" s="40">
        <v>11</v>
      </c>
      <c r="G29" s="102">
        <v>18</v>
      </c>
      <c r="H29" s="108">
        <f>'Fare Inputs'!F112</f>
        <v>99</v>
      </c>
      <c r="I29" s="108">
        <f>'Fare Inputs'!G112</f>
        <v>123.25</v>
      </c>
      <c r="J29" s="107">
        <f>'Fare Inputs'!L112</f>
        <v>111.25</v>
      </c>
      <c r="K29" s="108">
        <f>'Fare Inputs'!M112</f>
        <v>138</v>
      </c>
      <c r="L29" s="38"/>
      <c r="M29" s="38"/>
      <c r="N29" s="38"/>
      <c r="O29" s="38"/>
      <c r="Y29"/>
      <c r="Z29"/>
      <c r="AA29"/>
      <c r="AB29"/>
      <c r="AC29"/>
      <c r="AD29"/>
      <c r="AE29"/>
      <c r="AF29"/>
      <c r="AH29"/>
      <c r="AI29"/>
      <c r="AJ29"/>
      <c r="AK29"/>
      <c r="AL29"/>
      <c r="AM29"/>
      <c r="AN29"/>
      <c r="AP29"/>
      <c r="AQ29"/>
    </row>
    <row r="30" spans="1:43" x14ac:dyDescent="0.25">
      <c r="A30" s="36" t="s">
        <v>51</v>
      </c>
      <c r="B30" s="109">
        <f t="shared" si="2"/>
        <v>125.5</v>
      </c>
      <c r="C30" s="109">
        <f t="shared" si="2"/>
        <v>145.5</v>
      </c>
      <c r="D30" s="105">
        <f>'Fare Inputs'!H113</f>
        <v>143</v>
      </c>
      <c r="E30" s="109">
        <f>'Fare Inputs'!I113</f>
        <v>165.75</v>
      </c>
      <c r="F30" s="40">
        <v>19</v>
      </c>
      <c r="G30" s="102">
        <v>23</v>
      </c>
      <c r="H30" s="108">
        <f>'Fare Inputs'!F113</f>
        <v>144.5</v>
      </c>
      <c r="I30" s="108">
        <f>'Fare Inputs'!G113</f>
        <v>168.5</v>
      </c>
      <c r="J30" s="107">
        <f>'Fare Inputs'!L113</f>
        <v>162</v>
      </c>
      <c r="K30" s="108">
        <f>'Fare Inputs'!M113</f>
        <v>188.75</v>
      </c>
      <c r="L30" s="38"/>
      <c r="M30" s="38"/>
      <c r="N30" s="38"/>
      <c r="O30" s="38"/>
      <c r="Y30"/>
      <c r="Z30"/>
      <c r="AA30"/>
      <c r="AB30"/>
      <c r="AC30"/>
      <c r="AD30"/>
      <c r="AE30"/>
      <c r="AF30"/>
      <c r="AH30"/>
      <c r="AI30"/>
      <c r="AJ30"/>
      <c r="AK30"/>
      <c r="AL30"/>
      <c r="AM30"/>
      <c r="AN30"/>
      <c r="AP30"/>
      <c r="AQ30"/>
    </row>
    <row r="31" spans="1:43" x14ac:dyDescent="0.25">
      <c r="A31" s="36" t="s">
        <v>479</v>
      </c>
      <c r="B31" s="109">
        <f t="shared" si="2"/>
        <v>20.75</v>
      </c>
      <c r="C31" s="109">
        <f t="shared" si="2"/>
        <v>24.5</v>
      </c>
      <c r="D31" s="105">
        <f>'Fare Inputs'!H114</f>
        <v>23.75</v>
      </c>
      <c r="E31" s="109">
        <f>'Fare Inputs'!I114</f>
        <v>28</v>
      </c>
      <c r="F31" s="40">
        <v>4</v>
      </c>
      <c r="G31" s="102">
        <v>4</v>
      </c>
      <c r="H31" s="108">
        <f>'Fare Inputs'!F114</f>
        <v>24.75</v>
      </c>
      <c r="I31" s="108">
        <f>'Fare Inputs'!G114</f>
        <v>28.5</v>
      </c>
      <c r="J31" s="107">
        <f>'Fare Inputs'!L114</f>
        <v>27.75</v>
      </c>
      <c r="K31" s="108">
        <f>'Fare Inputs'!M114</f>
        <v>32</v>
      </c>
      <c r="L31" s="38"/>
      <c r="M31" s="38"/>
      <c r="N31" s="38"/>
      <c r="O31" s="38"/>
      <c r="Y31"/>
      <c r="Z31"/>
      <c r="AA31"/>
      <c r="AB31"/>
      <c r="AC31"/>
      <c r="AD31"/>
      <c r="AE31"/>
      <c r="AF31"/>
      <c r="AH31"/>
      <c r="AI31"/>
      <c r="AJ31"/>
      <c r="AK31"/>
      <c r="AL31"/>
      <c r="AM31"/>
      <c r="AN31"/>
      <c r="AP31"/>
      <c r="AQ31"/>
    </row>
    <row r="32" spans="1:43" x14ac:dyDescent="0.25">
      <c r="A32" s="36" t="s">
        <v>28</v>
      </c>
      <c r="B32" s="109"/>
      <c r="C32" s="109"/>
      <c r="D32" s="105"/>
      <c r="E32" s="109"/>
      <c r="F32" s="40"/>
      <c r="G32" s="102"/>
      <c r="H32" s="491" t="s">
        <v>72</v>
      </c>
      <c r="I32" s="492"/>
      <c r="J32" s="493" t="s">
        <v>72</v>
      </c>
      <c r="K32" s="491"/>
      <c r="L32" s="38"/>
      <c r="M32" s="38"/>
      <c r="N32" s="38"/>
      <c r="O32" s="38"/>
      <c r="Y32"/>
      <c r="Z32"/>
      <c r="AA32"/>
      <c r="AB32"/>
      <c r="AC32"/>
      <c r="AD32"/>
      <c r="AE32"/>
      <c r="AF32"/>
      <c r="AH32"/>
      <c r="AI32"/>
      <c r="AJ32"/>
      <c r="AK32"/>
      <c r="AL32"/>
      <c r="AM32"/>
      <c r="AN32"/>
      <c r="AP32"/>
      <c r="AQ32"/>
    </row>
    <row r="33" spans="1:43" x14ac:dyDescent="0.25">
      <c r="A33" s="490" t="s">
        <v>140</v>
      </c>
      <c r="B33" s="490"/>
      <c r="C33" s="490"/>
      <c r="D33" s="490"/>
      <c r="E33" s="490"/>
      <c r="F33" s="490"/>
      <c r="G33" s="490"/>
      <c r="H33" s="490"/>
      <c r="I33" s="490"/>
      <c r="J33" s="490"/>
      <c r="K33" s="490"/>
      <c r="L33" s="38"/>
      <c r="M33" s="38"/>
      <c r="N33" s="38"/>
      <c r="O33" s="38"/>
      <c r="P33" s="1"/>
      <c r="Y33"/>
      <c r="Z33"/>
      <c r="AA33"/>
      <c r="AB33"/>
      <c r="AC33"/>
      <c r="AD33"/>
      <c r="AE33"/>
      <c r="AF33"/>
      <c r="AH33"/>
      <c r="AI33"/>
      <c r="AJ33"/>
      <c r="AK33"/>
      <c r="AL33"/>
      <c r="AM33"/>
      <c r="AN33"/>
      <c r="AP33"/>
      <c r="AQ33"/>
    </row>
    <row r="34" spans="1:43" x14ac:dyDescent="0.25">
      <c r="A34" s="36" t="s">
        <v>48</v>
      </c>
      <c r="B34" s="109">
        <f t="shared" ref="B34:C37" si="3">H34-F34</f>
        <v>147.5</v>
      </c>
      <c r="C34" s="109">
        <f t="shared" si="3"/>
        <v>180</v>
      </c>
      <c r="D34" s="105">
        <f>'Fare Inputs'!H118</f>
        <v>168.75</v>
      </c>
      <c r="E34" s="109">
        <f>'Fare Inputs'!I118</f>
        <v>205</v>
      </c>
      <c r="F34" s="40">
        <v>20</v>
      </c>
      <c r="G34" s="102">
        <v>30</v>
      </c>
      <c r="H34" s="108">
        <f>'Fare Inputs'!F118</f>
        <v>167.5</v>
      </c>
      <c r="I34" s="108">
        <f>'Fare Inputs'!G118</f>
        <v>210</v>
      </c>
      <c r="J34" s="107">
        <f>'Fare Inputs'!L118</f>
        <v>188.75</v>
      </c>
      <c r="K34" s="108">
        <f>'Fare Inputs'!M118</f>
        <v>235</v>
      </c>
      <c r="L34" s="38"/>
      <c r="M34" s="38"/>
      <c r="N34" s="38"/>
      <c r="O34" s="38"/>
      <c r="Y34"/>
      <c r="Z34"/>
      <c r="AA34"/>
      <c r="AB34"/>
      <c r="AC34"/>
      <c r="AD34"/>
      <c r="AE34"/>
      <c r="AF34"/>
      <c r="AH34"/>
      <c r="AI34"/>
      <c r="AJ34"/>
      <c r="AK34"/>
      <c r="AL34"/>
      <c r="AM34"/>
      <c r="AN34"/>
      <c r="AP34"/>
      <c r="AQ34"/>
    </row>
    <row r="35" spans="1:43" x14ac:dyDescent="0.25">
      <c r="A35" s="36" t="s">
        <v>49</v>
      </c>
      <c r="B35" s="109">
        <f t="shared" si="3"/>
        <v>291.25</v>
      </c>
      <c r="C35" s="109">
        <f t="shared" si="3"/>
        <v>347.5</v>
      </c>
      <c r="D35" s="105">
        <f>'Fare Inputs'!H119</f>
        <v>332.5</v>
      </c>
      <c r="E35" s="109">
        <f>'Fare Inputs'!I119</f>
        <v>396.25</v>
      </c>
      <c r="F35" s="40">
        <v>40</v>
      </c>
      <c r="G35" s="102">
        <v>55</v>
      </c>
      <c r="H35" s="108">
        <f>'Fare Inputs'!F119</f>
        <v>331.25</v>
      </c>
      <c r="I35" s="108">
        <f>'Fare Inputs'!G119</f>
        <v>402.5</v>
      </c>
      <c r="J35" s="107">
        <f>'Fare Inputs'!L119</f>
        <v>372.5</v>
      </c>
      <c r="K35" s="108">
        <f>'Fare Inputs'!M119</f>
        <v>451.25</v>
      </c>
      <c r="L35" s="38"/>
      <c r="M35" s="38"/>
      <c r="N35" s="38"/>
      <c r="O35" s="38"/>
      <c r="Y35"/>
      <c r="Z35"/>
      <c r="AA35"/>
      <c r="AB35"/>
      <c r="AC35"/>
      <c r="AD35"/>
      <c r="AE35"/>
      <c r="AF35"/>
      <c r="AH35"/>
      <c r="AI35"/>
      <c r="AJ35"/>
      <c r="AK35"/>
      <c r="AL35"/>
      <c r="AM35"/>
      <c r="AN35"/>
      <c r="AP35"/>
      <c r="AQ35"/>
    </row>
    <row r="36" spans="1:43" x14ac:dyDescent="0.25">
      <c r="A36" s="36" t="s">
        <v>50</v>
      </c>
      <c r="B36" s="109">
        <f t="shared" si="3"/>
        <v>440</v>
      </c>
      <c r="C36" s="109">
        <f t="shared" si="3"/>
        <v>526.25</v>
      </c>
      <c r="D36" s="105">
        <f>'Fare Inputs'!H120</f>
        <v>501.25</v>
      </c>
      <c r="E36" s="109">
        <f>'Fare Inputs'!I120</f>
        <v>600</v>
      </c>
      <c r="F36" s="40">
        <v>55</v>
      </c>
      <c r="G36" s="102">
        <v>90</v>
      </c>
      <c r="H36" s="108">
        <f>'Fare Inputs'!F120</f>
        <v>495</v>
      </c>
      <c r="I36" s="108">
        <f>'Fare Inputs'!G120</f>
        <v>616.25</v>
      </c>
      <c r="J36" s="107">
        <f>'Fare Inputs'!L120</f>
        <v>556.25</v>
      </c>
      <c r="K36" s="108">
        <f>'Fare Inputs'!M120</f>
        <v>690</v>
      </c>
      <c r="L36" s="38"/>
      <c r="M36" s="38"/>
      <c r="N36" s="38"/>
      <c r="O36" s="38"/>
      <c r="Y36"/>
      <c r="Z36"/>
      <c r="AA36"/>
      <c r="AB36"/>
      <c r="AC36"/>
      <c r="AD36"/>
      <c r="AE36"/>
      <c r="AF36"/>
      <c r="AH36"/>
      <c r="AI36"/>
      <c r="AJ36"/>
      <c r="AK36"/>
      <c r="AL36"/>
      <c r="AM36"/>
      <c r="AN36"/>
      <c r="AP36"/>
      <c r="AQ36"/>
    </row>
    <row r="37" spans="1:43" x14ac:dyDescent="0.25">
      <c r="A37" s="36" t="s">
        <v>51</v>
      </c>
      <c r="B37" s="109">
        <f t="shared" si="3"/>
        <v>627.5</v>
      </c>
      <c r="C37" s="109">
        <f t="shared" si="3"/>
        <v>727.5</v>
      </c>
      <c r="D37" s="105">
        <f>'Fare Inputs'!H121</f>
        <v>715</v>
      </c>
      <c r="E37" s="109">
        <f>'Fare Inputs'!I121</f>
        <v>828.75</v>
      </c>
      <c r="F37" s="40">
        <v>95</v>
      </c>
      <c r="G37" s="102">
        <v>115</v>
      </c>
      <c r="H37" s="108">
        <f>'Fare Inputs'!F121</f>
        <v>722.5</v>
      </c>
      <c r="I37" s="108">
        <f>'Fare Inputs'!G121</f>
        <v>842.5</v>
      </c>
      <c r="J37" s="107">
        <f>'Fare Inputs'!L121</f>
        <v>810</v>
      </c>
      <c r="K37" s="108">
        <f>'Fare Inputs'!M121</f>
        <v>943.75</v>
      </c>
      <c r="L37" s="38"/>
      <c r="M37" s="38"/>
      <c r="N37" s="38"/>
      <c r="O37" s="38"/>
      <c r="Y37"/>
      <c r="Z37"/>
      <c r="AA37"/>
      <c r="AB37"/>
      <c r="AC37"/>
      <c r="AD37"/>
      <c r="AE37"/>
      <c r="AF37"/>
      <c r="AH37"/>
      <c r="AI37"/>
      <c r="AJ37"/>
      <c r="AK37"/>
      <c r="AL37"/>
      <c r="AM37"/>
      <c r="AN37"/>
      <c r="AP37"/>
      <c r="AQ37"/>
    </row>
    <row r="38" spans="1:43" x14ac:dyDescent="0.25">
      <c r="A38" s="502" t="s">
        <v>454</v>
      </c>
      <c r="B38" s="502"/>
      <c r="C38" s="502"/>
      <c r="D38" s="502"/>
      <c r="E38" s="502"/>
      <c r="F38" s="502"/>
      <c r="G38" s="502"/>
      <c r="H38" s="502"/>
      <c r="I38" s="502"/>
      <c r="J38" s="502"/>
      <c r="K38" s="502"/>
      <c r="L38" s="38"/>
      <c r="M38" s="38"/>
      <c r="N38" s="38"/>
      <c r="O38" s="38"/>
      <c r="P38" s="1"/>
      <c r="Y38"/>
      <c r="Z38"/>
      <c r="AA38"/>
      <c r="AB38"/>
      <c r="AC38"/>
      <c r="AD38"/>
      <c r="AE38"/>
      <c r="AF38"/>
      <c r="AH38"/>
      <c r="AI38"/>
      <c r="AJ38"/>
      <c r="AK38"/>
      <c r="AL38"/>
      <c r="AM38"/>
      <c r="AN38"/>
      <c r="AP38"/>
      <c r="AQ38"/>
    </row>
    <row r="39" spans="1:43" hidden="1" x14ac:dyDescent="0.25">
      <c r="A39" s="202"/>
      <c r="B39" s="203"/>
      <c r="C39" s="203"/>
      <c r="D39" s="204"/>
      <c r="E39" s="203"/>
      <c r="F39" s="205"/>
      <c r="G39" s="206"/>
      <c r="H39" s="494"/>
      <c r="I39" s="495"/>
      <c r="J39" s="496"/>
      <c r="K39" s="497"/>
      <c r="L39" s="38"/>
      <c r="M39" s="38"/>
      <c r="N39" s="38"/>
      <c r="O39" s="38"/>
      <c r="Y39"/>
      <c r="Z39"/>
      <c r="AA39"/>
      <c r="AB39"/>
      <c r="AC39"/>
      <c r="AD39"/>
      <c r="AE39"/>
      <c r="AF39"/>
      <c r="AH39"/>
      <c r="AI39"/>
      <c r="AJ39"/>
      <c r="AK39"/>
      <c r="AL39"/>
      <c r="AM39"/>
      <c r="AN39"/>
    </row>
    <row r="40" spans="1:43" x14ac:dyDescent="0.25">
      <c r="A40" s="485" t="s">
        <v>456</v>
      </c>
      <c r="B40" s="485"/>
      <c r="C40" s="485"/>
      <c r="D40" s="485"/>
      <c r="E40" s="485"/>
      <c r="F40" s="485"/>
      <c r="G40" s="485"/>
      <c r="H40" s="485"/>
      <c r="I40" s="485"/>
      <c r="J40" s="485"/>
      <c r="K40" s="485"/>
      <c r="Y40"/>
      <c r="Z40"/>
      <c r="AA40"/>
      <c r="AB40"/>
      <c r="AC40"/>
      <c r="AD40"/>
      <c r="AE40"/>
      <c r="AF40"/>
      <c r="AH40"/>
      <c r="AI40"/>
      <c r="AJ40"/>
      <c r="AK40"/>
      <c r="AL40"/>
      <c r="AM40"/>
      <c r="AN40"/>
    </row>
    <row r="41" spans="1:43" x14ac:dyDescent="0.25">
      <c r="A41" s="103"/>
      <c r="B41" s="50"/>
      <c r="C41" s="25"/>
      <c r="D41" s="50"/>
      <c r="E41" s="50"/>
      <c r="J41" s="16"/>
      <c r="K41" s="16"/>
      <c r="Y41"/>
      <c r="Z41"/>
      <c r="AA41"/>
      <c r="AB41"/>
      <c r="AC41"/>
      <c r="AD41"/>
      <c r="AE41"/>
      <c r="AF41"/>
      <c r="AH41"/>
      <c r="AI41"/>
      <c r="AJ41"/>
      <c r="AK41"/>
      <c r="AL41"/>
      <c r="AM41"/>
    </row>
    <row r="42" spans="1:43" x14ac:dyDescent="0.25">
      <c r="B42" s="25"/>
      <c r="C42" s="25"/>
      <c r="D42" s="50">
        <f t="shared" ref="D42:E42" si="4">SUM(D34:D37)</f>
        <v>1717.5</v>
      </c>
      <c r="E42" s="50">
        <f t="shared" si="4"/>
        <v>2030</v>
      </c>
      <c r="J42" s="50">
        <f>SUM(J34:J37)</f>
        <v>1927.5</v>
      </c>
      <c r="K42" s="50">
        <f>SUM(K34:K37)</f>
        <v>2320</v>
      </c>
      <c r="Q42" s="1"/>
      <c r="R42" s="1"/>
      <c r="S42" s="1"/>
      <c r="T42" s="1"/>
      <c r="U42" s="1"/>
      <c r="V42" s="1"/>
      <c r="W42" s="1"/>
      <c r="X42" s="1"/>
      <c r="AB42" s="6"/>
    </row>
    <row r="43" spans="1:43" x14ac:dyDescent="0.25">
      <c r="B43" s="15"/>
      <c r="C43" s="15"/>
      <c r="D43" s="15"/>
      <c r="E43" s="15"/>
      <c r="G43" s="15"/>
      <c r="H43" s="15"/>
      <c r="I43" s="15"/>
      <c r="J43" s="15"/>
      <c r="K43" s="15"/>
      <c r="L43" s="15"/>
      <c r="M43" s="15"/>
      <c r="N43" s="15"/>
      <c r="O43" s="15"/>
      <c r="Y43" s="15"/>
      <c r="Z43" s="15"/>
      <c r="AA43" s="15"/>
    </row>
    <row r="46" spans="1:43" ht="18.75" x14ac:dyDescent="0.25">
      <c r="A46" s="33"/>
    </row>
    <row r="47" spans="1:43" ht="18.75" x14ac:dyDescent="0.25">
      <c r="A47" s="33"/>
    </row>
    <row r="49" spans="1:15" x14ac:dyDescent="0.25">
      <c r="A49"/>
      <c r="B49"/>
      <c r="C49"/>
      <c r="D49"/>
      <c r="E49"/>
      <c r="F49"/>
      <c r="G49"/>
      <c r="H49"/>
      <c r="I49"/>
      <c r="J49"/>
      <c r="K49"/>
      <c r="L49"/>
      <c r="M49"/>
      <c r="N49"/>
      <c r="O49"/>
    </row>
    <row r="50" spans="1:15" x14ac:dyDescent="0.25">
      <c r="A50"/>
      <c r="B50"/>
      <c r="C50"/>
      <c r="D50"/>
      <c r="E50"/>
      <c r="F50"/>
      <c r="G50"/>
      <c r="H50"/>
      <c r="I50"/>
      <c r="J50"/>
      <c r="K50"/>
      <c r="L50"/>
      <c r="M50"/>
      <c r="N50"/>
      <c r="O50"/>
    </row>
    <row r="51" spans="1:15" x14ac:dyDescent="0.25">
      <c r="A51"/>
      <c r="B51"/>
      <c r="C51"/>
      <c r="D51"/>
      <c r="E51"/>
      <c r="F51"/>
      <c r="G51"/>
      <c r="H51"/>
      <c r="I51"/>
      <c r="J51"/>
      <c r="K51"/>
      <c r="L51"/>
      <c r="M51"/>
      <c r="N51"/>
      <c r="O51"/>
    </row>
    <row r="52" spans="1:15" x14ac:dyDescent="0.25">
      <c r="A52"/>
      <c r="B52"/>
      <c r="C52"/>
      <c r="D52"/>
      <c r="E52"/>
      <c r="F52"/>
      <c r="G52"/>
      <c r="H52"/>
      <c r="I52"/>
      <c r="J52"/>
      <c r="K52"/>
      <c r="L52"/>
      <c r="M52"/>
      <c r="N52"/>
      <c r="O52"/>
    </row>
    <row r="53" spans="1:15" x14ac:dyDescent="0.25">
      <c r="A53"/>
      <c r="B53"/>
      <c r="C53"/>
      <c r="D53"/>
      <c r="E53"/>
      <c r="F53"/>
      <c r="G53"/>
      <c r="H53"/>
      <c r="I53"/>
      <c r="J53"/>
      <c r="K53"/>
      <c r="L53"/>
      <c r="M53"/>
      <c r="N53"/>
      <c r="O53"/>
    </row>
    <row r="54" spans="1:15" x14ac:dyDescent="0.25">
      <c r="A54"/>
      <c r="B54"/>
      <c r="C54"/>
      <c r="D54"/>
      <c r="E54"/>
      <c r="F54"/>
      <c r="G54"/>
      <c r="H54"/>
      <c r="I54"/>
      <c r="J54"/>
      <c r="K54"/>
      <c r="L54"/>
      <c r="M54"/>
      <c r="N54"/>
      <c r="O54"/>
    </row>
    <row r="55" spans="1:15" x14ac:dyDescent="0.25">
      <c r="A55"/>
      <c r="B55"/>
      <c r="C55"/>
      <c r="D55"/>
      <c r="E55"/>
      <c r="F55"/>
      <c r="G55"/>
      <c r="H55"/>
      <c r="I55"/>
      <c r="J55"/>
      <c r="K55"/>
      <c r="L55"/>
      <c r="M55"/>
      <c r="N55"/>
      <c r="O55"/>
    </row>
    <row r="56" spans="1:15" x14ac:dyDescent="0.25">
      <c r="A56"/>
      <c r="B56"/>
      <c r="C56"/>
      <c r="D56"/>
      <c r="E56"/>
      <c r="F56"/>
      <c r="G56"/>
      <c r="H56"/>
      <c r="I56"/>
      <c r="J56"/>
      <c r="K56"/>
      <c r="L56"/>
      <c r="M56"/>
      <c r="N56"/>
      <c r="O56"/>
    </row>
    <row r="57" spans="1:15" x14ac:dyDescent="0.25">
      <c r="A57"/>
      <c r="B57"/>
      <c r="C57"/>
      <c r="D57"/>
      <c r="E57"/>
      <c r="F57"/>
      <c r="G57"/>
      <c r="H57"/>
      <c r="I57"/>
      <c r="J57"/>
      <c r="K57"/>
      <c r="L57"/>
      <c r="M57"/>
      <c r="N57"/>
      <c r="O57"/>
    </row>
    <row r="58" spans="1:15" x14ac:dyDescent="0.25">
      <c r="A58"/>
      <c r="B58"/>
      <c r="C58"/>
      <c r="D58"/>
      <c r="E58"/>
      <c r="F58"/>
      <c r="G58"/>
      <c r="H58"/>
      <c r="I58"/>
      <c r="J58"/>
      <c r="K58"/>
      <c r="L58"/>
      <c r="M58"/>
      <c r="N58"/>
      <c r="O58"/>
    </row>
    <row r="59" spans="1:15" x14ac:dyDescent="0.25">
      <c r="A59"/>
      <c r="B59"/>
      <c r="C59"/>
      <c r="D59"/>
      <c r="E59"/>
      <c r="F59"/>
      <c r="G59"/>
      <c r="H59"/>
      <c r="I59"/>
      <c r="J59"/>
      <c r="K59"/>
      <c r="L59"/>
      <c r="M59"/>
      <c r="N59"/>
      <c r="O59"/>
    </row>
    <row r="60" spans="1:15" x14ac:dyDescent="0.25">
      <c r="A60"/>
      <c r="B60"/>
      <c r="C60"/>
      <c r="D60"/>
      <c r="E60"/>
      <c r="F60"/>
      <c r="G60"/>
      <c r="H60"/>
      <c r="I60"/>
      <c r="J60"/>
      <c r="K60"/>
      <c r="L60"/>
      <c r="M60"/>
      <c r="N60"/>
      <c r="O60"/>
    </row>
    <row r="61" spans="1:15" x14ac:dyDescent="0.25">
      <c r="A61"/>
      <c r="B61"/>
      <c r="C61"/>
      <c r="D61"/>
      <c r="E61"/>
      <c r="F61"/>
      <c r="G61"/>
      <c r="H61"/>
      <c r="I61"/>
      <c r="J61"/>
      <c r="K61"/>
      <c r="L61"/>
      <c r="M61"/>
      <c r="N61"/>
      <c r="O61"/>
    </row>
    <row r="62" spans="1:15" x14ac:dyDescent="0.25">
      <c r="A62"/>
      <c r="B62"/>
      <c r="C62"/>
      <c r="D62"/>
      <c r="E62"/>
      <c r="F62"/>
      <c r="G62"/>
      <c r="H62"/>
      <c r="I62"/>
      <c r="J62"/>
      <c r="K62"/>
      <c r="L62"/>
      <c r="M62"/>
      <c r="N62"/>
      <c r="O62"/>
    </row>
    <row r="63" spans="1:15" x14ac:dyDescent="0.25">
      <c r="A63"/>
      <c r="B63"/>
      <c r="C63"/>
      <c r="D63"/>
      <c r="E63"/>
      <c r="F63"/>
      <c r="G63"/>
      <c r="H63"/>
      <c r="I63"/>
      <c r="J63"/>
      <c r="K63"/>
      <c r="L63"/>
      <c r="M63"/>
      <c r="N63"/>
      <c r="O63"/>
    </row>
    <row r="64" spans="1:15" x14ac:dyDescent="0.25">
      <c r="A64"/>
      <c r="B64"/>
      <c r="C64"/>
      <c r="D64"/>
      <c r="E64"/>
      <c r="F64"/>
      <c r="G64"/>
      <c r="H64"/>
      <c r="I64"/>
      <c r="J64"/>
      <c r="K64"/>
      <c r="L64"/>
      <c r="M64"/>
      <c r="N64"/>
      <c r="O64"/>
    </row>
    <row r="65" spans="1:15" x14ac:dyDescent="0.25">
      <c r="A65"/>
      <c r="B65"/>
      <c r="C65"/>
      <c r="D65"/>
      <c r="E65"/>
      <c r="F65"/>
      <c r="G65"/>
      <c r="H65"/>
      <c r="I65"/>
      <c r="J65"/>
      <c r="K65"/>
      <c r="L65"/>
      <c r="M65"/>
      <c r="N65"/>
      <c r="O65"/>
    </row>
    <row r="66" spans="1:15" x14ac:dyDescent="0.25">
      <c r="A66"/>
      <c r="B66"/>
      <c r="C66"/>
      <c r="D66"/>
      <c r="E66"/>
      <c r="F66"/>
      <c r="G66"/>
      <c r="H66"/>
      <c r="I66"/>
      <c r="J66"/>
      <c r="K66"/>
      <c r="L66"/>
      <c r="M66"/>
      <c r="N66"/>
      <c r="O66"/>
    </row>
    <row r="67" spans="1:15" x14ac:dyDescent="0.25">
      <c r="A67"/>
      <c r="B67"/>
      <c r="C67"/>
      <c r="D67"/>
      <c r="E67"/>
      <c r="F67"/>
      <c r="G67"/>
      <c r="H67"/>
      <c r="I67"/>
      <c r="J67"/>
      <c r="K67"/>
      <c r="L67"/>
      <c r="M67"/>
      <c r="N67"/>
      <c r="O67"/>
    </row>
    <row r="68" spans="1:15" x14ac:dyDescent="0.25">
      <c r="A68"/>
      <c r="B68"/>
      <c r="C68"/>
      <c r="D68"/>
      <c r="E68"/>
      <c r="F68"/>
      <c r="G68"/>
      <c r="H68"/>
      <c r="I68"/>
      <c r="J68"/>
      <c r="K68"/>
      <c r="L68"/>
      <c r="M68"/>
      <c r="N68"/>
      <c r="O68"/>
    </row>
    <row r="69" spans="1:15" x14ac:dyDescent="0.25">
      <c r="A69"/>
      <c r="B69"/>
      <c r="C69"/>
      <c r="D69"/>
      <c r="E69"/>
      <c r="F69"/>
      <c r="G69"/>
      <c r="H69"/>
      <c r="I69"/>
      <c r="J69"/>
      <c r="K69"/>
      <c r="L69"/>
      <c r="M69"/>
      <c r="N69"/>
      <c r="O69"/>
    </row>
    <row r="70" spans="1:15" x14ac:dyDescent="0.25">
      <c r="A70"/>
      <c r="B70"/>
      <c r="C70"/>
      <c r="D70"/>
      <c r="E70"/>
      <c r="F70"/>
      <c r="G70"/>
      <c r="H70"/>
      <c r="I70"/>
      <c r="J70"/>
      <c r="K70"/>
      <c r="L70"/>
      <c r="M70"/>
      <c r="N70"/>
      <c r="O70"/>
    </row>
    <row r="71" spans="1:15" x14ac:dyDescent="0.25">
      <c r="A71"/>
      <c r="B71"/>
      <c r="C71"/>
      <c r="D71"/>
      <c r="E71"/>
      <c r="F71"/>
      <c r="G71"/>
      <c r="H71"/>
      <c r="I71"/>
      <c r="J71"/>
      <c r="K71"/>
      <c r="L71"/>
      <c r="M71"/>
      <c r="N71"/>
      <c r="O71"/>
    </row>
    <row r="72" spans="1:15" x14ac:dyDescent="0.25">
      <c r="A72"/>
      <c r="B72"/>
      <c r="C72"/>
      <c r="D72"/>
      <c r="E72"/>
      <c r="F72"/>
      <c r="G72"/>
      <c r="H72"/>
      <c r="I72"/>
      <c r="J72"/>
      <c r="K72"/>
      <c r="L72"/>
      <c r="M72"/>
      <c r="N72"/>
      <c r="O72"/>
    </row>
    <row r="73" spans="1:15" x14ac:dyDescent="0.25">
      <c r="A73"/>
      <c r="B73"/>
      <c r="C73"/>
      <c r="D73"/>
      <c r="E73"/>
      <c r="F73"/>
      <c r="G73"/>
      <c r="H73"/>
      <c r="I73"/>
      <c r="J73"/>
      <c r="K73"/>
      <c r="L73"/>
      <c r="M73"/>
      <c r="N73"/>
      <c r="O73"/>
    </row>
    <row r="74" spans="1:15" x14ac:dyDescent="0.25">
      <c r="A74"/>
      <c r="B74"/>
      <c r="C74"/>
      <c r="D74"/>
      <c r="E74"/>
      <c r="F74"/>
      <c r="G74"/>
      <c r="H74"/>
      <c r="I74"/>
      <c r="J74"/>
      <c r="K74"/>
      <c r="L74"/>
      <c r="M74"/>
      <c r="N74"/>
      <c r="O74"/>
    </row>
    <row r="75" spans="1:15" x14ac:dyDescent="0.25">
      <c r="A75"/>
      <c r="B75"/>
      <c r="C75"/>
      <c r="D75"/>
      <c r="E75"/>
      <c r="F75"/>
      <c r="G75"/>
      <c r="H75"/>
      <c r="I75"/>
      <c r="J75"/>
      <c r="K75"/>
      <c r="L75"/>
      <c r="M75"/>
      <c r="N75"/>
      <c r="O75"/>
    </row>
    <row r="76" spans="1:15" x14ac:dyDescent="0.25">
      <c r="A76"/>
      <c r="B76"/>
      <c r="C76"/>
      <c r="D76"/>
      <c r="E76"/>
      <c r="F76"/>
      <c r="G76"/>
      <c r="H76"/>
      <c r="I76"/>
      <c r="J76"/>
      <c r="K76"/>
      <c r="L76"/>
      <c r="M76"/>
      <c r="N76"/>
      <c r="O76"/>
    </row>
  </sheetData>
  <mergeCells count="25">
    <mergeCell ref="A33:K33"/>
    <mergeCell ref="A38:K38"/>
    <mergeCell ref="B4:C4"/>
    <mergeCell ref="D4:E4"/>
    <mergeCell ref="F5:G5"/>
    <mergeCell ref="H5:I5"/>
    <mergeCell ref="J5:K5"/>
    <mergeCell ref="B5:C5"/>
    <mergeCell ref="D5:E5"/>
    <mergeCell ref="A40:K40"/>
    <mergeCell ref="B2:E2"/>
    <mergeCell ref="H2:K2"/>
    <mergeCell ref="A7:K7"/>
    <mergeCell ref="A13:K13"/>
    <mergeCell ref="A16:K16"/>
    <mergeCell ref="H32:I32"/>
    <mergeCell ref="J32:K32"/>
    <mergeCell ref="H39:I39"/>
    <mergeCell ref="J39:K39"/>
    <mergeCell ref="F4:G4"/>
    <mergeCell ref="H4:I4"/>
    <mergeCell ref="J4:K4"/>
    <mergeCell ref="A20:K20"/>
    <mergeCell ref="A24:K24"/>
    <mergeCell ref="A26:K26"/>
  </mergeCells>
  <pageMargins left="0.25" right="0.2" top="0.25" bottom="0.25" header="0.3" footer="0.3"/>
  <pageSetup scale="83" orientation="landscape" verticalDpi="4294967295"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29931-7072-464B-ACA1-289530103CCA}">
  <sheetPr>
    <tabColor rgb="FF7030A0"/>
    <pageSetUpPr fitToPage="1"/>
  </sheetPr>
  <dimension ref="A1:AL181"/>
  <sheetViews>
    <sheetView topLeftCell="A7" zoomScale="112" zoomScaleNormal="112" workbookViewId="0">
      <pane xSplit="1" topLeftCell="B1" activePane="topRight" state="frozen"/>
      <selection activeCell="A118" sqref="A118"/>
      <selection pane="topRight" activeCell="U88" sqref="U88"/>
    </sheetView>
  </sheetViews>
  <sheetFormatPr defaultColWidth="10.75" defaultRowHeight="15.75" x14ac:dyDescent="0.25"/>
  <cols>
    <col min="1" max="1" width="44.875" style="1" customWidth="1"/>
    <col min="2" max="2" width="12" style="1" bestFit="1" customWidth="1"/>
    <col min="3" max="7" width="10.75" style="1"/>
    <col min="8" max="8" width="10.625" style="1" customWidth="1"/>
    <col min="9" max="13" width="10.75" style="1"/>
    <col min="14" max="19" width="0" style="1" hidden="1" customWidth="1"/>
    <col min="20" max="20" width="10.75" style="1"/>
    <col min="21" max="21" width="37.75" style="1" customWidth="1"/>
    <col min="22" max="24" width="12.125" style="1" bestFit="1" customWidth="1"/>
    <col min="25" max="25" width="10.75" style="22"/>
    <col min="26" max="16384" width="10.75" style="1"/>
  </cols>
  <sheetData>
    <row r="1" spans="1:25" ht="10.5" hidden="1" customHeight="1" thickBot="1" x14ac:dyDescent="0.3"/>
    <row r="2" spans="1:25" ht="16.5" hidden="1" thickTop="1" x14ac:dyDescent="0.25">
      <c r="A2" s="11" t="s">
        <v>294</v>
      </c>
      <c r="B2" s="70">
        <v>0.55000000000000004</v>
      </c>
      <c r="D2" s="535" t="s">
        <v>436</v>
      </c>
      <c r="E2" s="475"/>
      <c r="F2" s="475"/>
      <c r="G2" s="475"/>
      <c r="H2" s="30">
        <v>0.5</v>
      </c>
    </row>
    <row r="3" spans="1:25" hidden="1" x14ac:dyDescent="0.25">
      <c r="A3" s="12" t="s">
        <v>295</v>
      </c>
      <c r="B3" s="78">
        <v>2319876</v>
      </c>
      <c r="D3" s="535" t="s">
        <v>437</v>
      </c>
      <c r="E3" s="475"/>
      <c r="F3" s="475"/>
      <c r="G3" s="475"/>
      <c r="H3" s="318">
        <v>1818971</v>
      </c>
      <c r="I3" s="314"/>
    </row>
    <row r="4" spans="1:25" hidden="1" x14ac:dyDescent="0.25">
      <c r="A4" s="12" t="s">
        <v>296</v>
      </c>
      <c r="B4" s="77">
        <v>1900000</v>
      </c>
      <c r="D4" s="535" t="s">
        <v>438</v>
      </c>
      <c r="E4" s="475"/>
      <c r="F4" s="475"/>
      <c r="G4" s="475"/>
      <c r="H4" s="318">
        <v>1455098</v>
      </c>
      <c r="K4" s="9"/>
    </row>
    <row r="5" spans="1:25" ht="18" hidden="1" customHeight="1" x14ac:dyDescent="0.25">
      <c r="A5" s="201" t="s">
        <v>297</v>
      </c>
      <c r="B5" s="200">
        <f>B4-B3</f>
        <v>-419876</v>
      </c>
      <c r="D5" s="536" t="s">
        <v>478</v>
      </c>
      <c r="E5" s="537"/>
      <c r="F5" s="537"/>
      <c r="G5" s="537"/>
      <c r="H5" s="6">
        <f>H3-H4</f>
        <v>363873</v>
      </c>
      <c r="J5" s="3"/>
      <c r="K5" s="3"/>
      <c r="M5" s="3"/>
      <c r="U5" s="41"/>
    </row>
    <row r="6" spans="1:25" hidden="1" x14ac:dyDescent="0.25">
      <c r="A6" s="13"/>
      <c r="B6" s="200"/>
      <c r="G6" s="1" t="s">
        <v>439</v>
      </c>
      <c r="H6" s="319">
        <v>604964</v>
      </c>
      <c r="J6" s="35"/>
      <c r="U6" s="41"/>
    </row>
    <row r="7" spans="1:25" ht="16.5" thickBot="1" x14ac:dyDescent="0.3">
      <c r="A7" s="12" t="s">
        <v>288</v>
      </c>
      <c r="B7" s="39">
        <v>0.14000000000000001</v>
      </c>
      <c r="H7" s="319"/>
      <c r="T7" s="3"/>
    </row>
    <row r="8" spans="1:25" ht="16.5" hidden="1" thickTop="1" x14ac:dyDescent="0.25">
      <c r="B8" s="17"/>
      <c r="C8" s="17"/>
      <c r="D8" s="17"/>
      <c r="E8" s="17"/>
      <c r="F8" s="79" t="s">
        <v>113</v>
      </c>
      <c r="G8" s="79"/>
      <c r="H8" s="79"/>
      <c r="I8" s="79"/>
      <c r="J8" s="79"/>
      <c r="K8" s="79"/>
      <c r="L8" s="79"/>
    </row>
    <row r="9" spans="1:25" s="74" customFormat="1" hidden="1" x14ac:dyDescent="0.25">
      <c r="A9" s="74" t="s">
        <v>302</v>
      </c>
      <c r="B9" s="514" t="s">
        <v>36</v>
      </c>
      <c r="C9" s="515"/>
      <c r="D9" s="515"/>
      <c r="E9" s="515"/>
      <c r="F9" s="516"/>
      <c r="G9" s="84"/>
      <c r="H9" s="514" t="s">
        <v>39</v>
      </c>
      <c r="I9" s="515"/>
      <c r="J9" s="515"/>
      <c r="K9" s="515"/>
      <c r="L9" s="516"/>
      <c r="M9" s="514" t="s">
        <v>40</v>
      </c>
      <c r="N9" s="515"/>
      <c r="O9" s="515"/>
      <c r="P9" s="515"/>
      <c r="Q9" s="516"/>
      <c r="R9" s="85"/>
      <c r="S9" s="86"/>
      <c r="T9" s="86"/>
      <c r="U9" s="86"/>
      <c r="Y9" s="85"/>
    </row>
    <row r="10" spans="1:25" s="74" customFormat="1" hidden="1" x14ac:dyDescent="0.25">
      <c r="A10" s="1" t="s">
        <v>112</v>
      </c>
      <c r="B10" s="514" t="s">
        <v>37</v>
      </c>
      <c r="C10" s="516"/>
      <c r="D10" s="514" t="s">
        <v>73</v>
      </c>
      <c r="E10" s="516"/>
      <c r="F10" s="517" t="s">
        <v>38</v>
      </c>
      <c r="G10" s="518"/>
      <c r="H10" s="514" t="s">
        <v>37</v>
      </c>
      <c r="I10" s="516"/>
      <c r="J10" s="514" t="s">
        <v>73</v>
      </c>
      <c r="K10" s="516"/>
      <c r="L10" s="519" t="s">
        <v>38</v>
      </c>
      <c r="M10" s="514" t="s">
        <v>37</v>
      </c>
      <c r="N10" s="516"/>
      <c r="O10" s="514" t="s">
        <v>108</v>
      </c>
      <c r="P10" s="516"/>
      <c r="Q10" s="519" t="s">
        <v>38</v>
      </c>
      <c r="R10" s="87"/>
      <c r="S10" s="86"/>
      <c r="T10" s="86"/>
      <c r="U10" s="86"/>
      <c r="V10" s="73"/>
      <c r="Y10" s="85"/>
    </row>
    <row r="11" spans="1:25" s="74" customFormat="1" hidden="1" x14ac:dyDescent="0.25">
      <c r="B11" s="88" t="s">
        <v>35</v>
      </c>
      <c r="C11" s="89" t="s">
        <v>34</v>
      </c>
      <c r="D11" s="88" t="s">
        <v>35</v>
      </c>
      <c r="E11" s="89" t="s">
        <v>34</v>
      </c>
      <c r="F11" s="90" t="s">
        <v>35</v>
      </c>
      <c r="G11" s="91" t="s">
        <v>34</v>
      </c>
      <c r="H11" s="88" t="s">
        <v>35</v>
      </c>
      <c r="I11" s="89" t="s">
        <v>34</v>
      </c>
      <c r="J11" s="88" t="s">
        <v>35</v>
      </c>
      <c r="K11" s="89" t="s">
        <v>34</v>
      </c>
      <c r="L11" s="520"/>
      <c r="M11" s="88" t="s">
        <v>35</v>
      </c>
      <c r="N11" s="89" t="s">
        <v>34</v>
      </c>
      <c r="O11" s="88" t="s">
        <v>35</v>
      </c>
      <c r="P11" s="89" t="s">
        <v>34</v>
      </c>
      <c r="Q11" s="520"/>
      <c r="R11" s="87"/>
      <c r="S11" s="86"/>
      <c r="T11" s="86"/>
      <c r="U11" s="86"/>
      <c r="V11" s="73"/>
      <c r="Y11" s="85"/>
    </row>
    <row r="12" spans="1:25" s="74" customFormat="1" hidden="1" x14ac:dyDescent="0.25">
      <c r="A12" s="80" t="s">
        <v>0</v>
      </c>
      <c r="B12" s="82"/>
      <c r="C12" s="82"/>
      <c r="D12" s="82"/>
      <c r="E12" s="82"/>
      <c r="F12" s="82"/>
      <c r="G12" s="82"/>
      <c r="H12" s="82"/>
      <c r="I12" s="82"/>
      <c r="J12" s="82"/>
      <c r="K12" s="82"/>
      <c r="L12" s="82"/>
      <c r="M12" s="82"/>
      <c r="N12" s="82"/>
      <c r="O12" s="82"/>
      <c r="P12" s="82"/>
      <c r="Q12" s="82"/>
      <c r="R12" s="82"/>
      <c r="V12" s="73"/>
      <c r="Y12" s="85"/>
    </row>
    <row r="13" spans="1:25" s="74" customFormat="1" hidden="1" x14ac:dyDescent="0.25">
      <c r="A13" s="72" t="s">
        <v>1</v>
      </c>
      <c r="B13" s="73">
        <f>D13-F13</f>
        <v>3.5</v>
      </c>
      <c r="C13" s="73">
        <f>E13-G13</f>
        <v>4.5</v>
      </c>
      <c r="D13" s="73">
        <v>4.5</v>
      </c>
      <c r="E13" s="73">
        <v>5.5</v>
      </c>
      <c r="F13" s="73">
        <v>1</v>
      </c>
      <c r="G13" s="73">
        <v>1</v>
      </c>
      <c r="H13" s="73">
        <f t="shared" ref="H13:I17" si="0">B13*(1+$B$7)</f>
        <v>3.99</v>
      </c>
      <c r="I13" s="73">
        <f t="shared" si="0"/>
        <v>5.1300000000000008</v>
      </c>
      <c r="J13" s="73">
        <f>H13+F13</f>
        <v>4.99</v>
      </c>
      <c r="K13" s="73">
        <f>I13+G13</f>
        <v>6.1300000000000008</v>
      </c>
      <c r="L13" s="73"/>
      <c r="M13" s="73">
        <f>MROUND(H13,0.25)</f>
        <v>4</v>
      </c>
      <c r="N13" s="73">
        <f>MROUND(I13,0.25)</f>
        <v>5.25</v>
      </c>
      <c r="O13" s="73">
        <f>MROUND(J13,0.25)</f>
        <v>5</v>
      </c>
      <c r="P13" s="73">
        <f>MROUND(K13,0.25)</f>
        <v>6.25</v>
      </c>
      <c r="V13" s="92"/>
      <c r="Y13" s="85"/>
    </row>
    <row r="14" spans="1:25" s="74" customFormat="1" hidden="1" x14ac:dyDescent="0.25">
      <c r="A14" s="72" t="s">
        <v>2</v>
      </c>
      <c r="B14" s="73">
        <f>D14-F14</f>
        <v>2.25</v>
      </c>
      <c r="C14" s="73">
        <f>E14-G14</f>
        <v>2.75</v>
      </c>
      <c r="D14" s="73">
        <v>2.25</v>
      </c>
      <c r="E14" s="73">
        <v>3.25</v>
      </c>
      <c r="F14" s="83"/>
      <c r="G14" s="83">
        <v>0.5</v>
      </c>
      <c r="H14" s="73">
        <f t="shared" si="0"/>
        <v>2.5650000000000004</v>
      </c>
      <c r="I14" s="73">
        <f t="shared" si="0"/>
        <v>3.1350000000000002</v>
      </c>
      <c r="J14" s="73">
        <f>H14+F14</f>
        <v>2.5650000000000004</v>
      </c>
      <c r="K14" s="73">
        <f>I14+G14</f>
        <v>3.6350000000000002</v>
      </c>
      <c r="M14" s="73">
        <f t="shared" ref="M14:P17" si="1">MROUND(H14,0.25)</f>
        <v>2.5</v>
      </c>
      <c r="N14" s="73">
        <f t="shared" si="1"/>
        <v>3.25</v>
      </c>
      <c r="O14" s="73">
        <f t="shared" si="1"/>
        <v>2.5</v>
      </c>
      <c r="P14" s="73">
        <f t="shared" si="1"/>
        <v>3.75</v>
      </c>
      <c r="Y14" s="85"/>
    </row>
    <row r="15" spans="1:25" s="74" customFormat="1" hidden="1" x14ac:dyDescent="0.25">
      <c r="A15" s="72" t="s">
        <v>107</v>
      </c>
      <c r="B15" s="73">
        <v>0</v>
      </c>
      <c r="C15" s="73">
        <v>0</v>
      </c>
      <c r="D15" s="73">
        <v>0</v>
      </c>
      <c r="E15" s="73">
        <v>0</v>
      </c>
      <c r="F15" s="73">
        <v>0</v>
      </c>
      <c r="G15" s="73">
        <v>0</v>
      </c>
      <c r="H15" s="73">
        <f t="shared" si="0"/>
        <v>0</v>
      </c>
      <c r="I15" s="73">
        <f t="shared" si="0"/>
        <v>0</v>
      </c>
      <c r="J15" s="73">
        <f>H15+F15</f>
        <v>0</v>
      </c>
      <c r="K15" s="73">
        <f>I15+G5</f>
        <v>0</v>
      </c>
      <c r="M15" s="73">
        <f t="shared" si="1"/>
        <v>0</v>
      </c>
      <c r="N15" s="73">
        <f t="shared" si="1"/>
        <v>0</v>
      </c>
      <c r="O15" s="73">
        <f t="shared" si="1"/>
        <v>0</v>
      </c>
      <c r="P15" s="73">
        <f t="shared" si="1"/>
        <v>0</v>
      </c>
      <c r="Y15" s="85"/>
    </row>
    <row r="16" spans="1:25" s="74" customFormat="1" hidden="1" x14ac:dyDescent="0.25">
      <c r="A16" s="72" t="s">
        <v>303</v>
      </c>
      <c r="B16" s="73">
        <f>D16-F16</f>
        <v>4.5</v>
      </c>
      <c r="C16" s="73">
        <f>E16-G16</f>
        <v>5.75</v>
      </c>
      <c r="D16" s="73">
        <v>5.5</v>
      </c>
      <c r="E16" s="73">
        <v>6.75</v>
      </c>
      <c r="F16" s="73">
        <v>1</v>
      </c>
      <c r="G16" s="73">
        <v>1</v>
      </c>
      <c r="H16" s="73">
        <f t="shared" si="0"/>
        <v>5.1300000000000008</v>
      </c>
      <c r="I16" s="73">
        <f t="shared" si="0"/>
        <v>6.5550000000000006</v>
      </c>
      <c r="J16" s="73">
        <f>H16+F16</f>
        <v>6.1300000000000008</v>
      </c>
      <c r="K16" s="73">
        <f>I16+G16</f>
        <v>7.5550000000000006</v>
      </c>
      <c r="M16" s="73">
        <f t="shared" si="1"/>
        <v>5.25</v>
      </c>
      <c r="N16" s="73">
        <f t="shared" si="1"/>
        <v>6.5</v>
      </c>
      <c r="O16" s="73">
        <f t="shared" si="1"/>
        <v>6.25</v>
      </c>
      <c r="P16" s="73">
        <f t="shared" si="1"/>
        <v>7.5</v>
      </c>
      <c r="Y16" s="85"/>
    </row>
    <row r="17" spans="1:25" s="74" customFormat="1" hidden="1" x14ac:dyDescent="0.25">
      <c r="A17" s="72" t="s">
        <v>304</v>
      </c>
      <c r="B17" s="73">
        <f>D17-F17</f>
        <v>3.5</v>
      </c>
      <c r="C17" s="73">
        <f>E17-G17</f>
        <v>4</v>
      </c>
      <c r="D17" s="73">
        <v>3.5</v>
      </c>
      <c r="E17" s="73">
        <v>4.5</v>
      </c>
      <c r="F17" s="83"/>
      <c r="G17" s="83">
        <v>0.5</v>
      </c>
      <c r="H17" s="73">
        <f t="shared" si="0"/>
        <v>3.99</v>
      </c>
      <c r="I17" s="73">
        <f t="shared" si="0"/>
        <v>4.5600000000000005</v>
      </c>
      <c r="J17" s="73">
        <f>H17+F17</f>
        <v>3.99</v>
      </c>
      <c r="K17" s="73">
        <f>I17+G17</f>
        <v>5.0600000000000005</v>
      </c>
      <c r="M17" s="73">
        <f t="shared" si="1"/>
        <v>4</v>
      </c>
      <c r="N17" s="73">
        <f t="shared" si="1"/>
        <v>4.5</v>
      </c>
      <c r="O17" s="73">
        <f t="shared" si="1"/>
        <v>4</v>
      </c>
      <c r="P17" s="73">
        <f t="shared" si="1"/>
        <v>5</v>
      </c>
      <c r="Y17" s="85"/>
    </row>
    <row r="18" spans="1:25" s="74" customFormat="1" hidden="1" x14ac:dyDescent="0.25">
      <c r="A18" s="80" t="s">
        <v>305</v>
      </c>
      <c r="B18" s="81"/>
      <c r="C18" s="81"/>
      <c r="D18" s="81"/>
      <c r="E18" s="81"/>
      <c r="F18" s="81"/>
      <c r="G18" s="81"/>
      <c r="H18" s="82"/>
      <c r="I18" s="82"/>
      <c r="J18" s="82"/>
      <c r="K18" s="82"/>
      <c r="L18" s="82"/>
      <c r="M18" s="82"/>
      <c r="N18" s="82"/>
      <c r="O18" s="82"/>
      <c r="P18" s="82"/>
      <c r="Q18" s="82"/>
      <c r="R18" s="82"/>
      <c r="Y18" s="85"/>
    </row>
    <row r="19" spans="1:25" s="74" customFormat="1" hidden="1" x14ac:dyDescent="0.25">
      <c r="A19" s="72" t="s">
        <v>4</v>
      </c>
      <c r="B19" s="73">
        <f>D19-F19</f>
        <v>74.5</v>
      </c>
      <c r="C19" s="73">
        <f>E19-G19</f>
        <v>74.5</v>
      </c>
      <c r="D19" s="73">
        <v>84.5</v>
      </c>
      <c r="E19" s="73">
        <f>D19</f>
        <v>84.5</v>
      </c>
      <c r="F19" s="73">
        <v>10</v>
      </c>
      <c r="G19" s="73">
        <v>10</v>
      </c>
      <c r="H19" s="73">
        <f>B19*(1+$B$7)</f>
        <v>84.93</v>
      </c>
      <c r="I19" s="73">
        <f>C19*(1+$B$7)</f>
        <v>84.93</v>
      </c>
      <c r="J19" s="73">
        <f>H19+F19</f>
        <v>94.93</v>
      </c>
      <c r="K19" s="73">
        <f>I19+G19</f>
        <v>94.93</v>
      </c>
      <c r="M19" s="73">
        <f t="shared" ref="M19:P20" si="2">MROUND(H19,0.25)</f>
        <v>85</v>
      </c>
      <c r="N19" s="73">
        <f t="shared" si="2"/>
        <v>85</v>
      </c>
      <c r="O19" s="73">
        <f t="shared" si="2"/>
        <v>95</v>
      </c>
      <c r="P19" s="73">
        <f t="shared" si="2"/>
        <v>95</v>
      </c>
      <c r="U19" s="74">
        <f>(J13*25)*0.85</f>
        <v>106.03749999999999</v>
      </c>
      <c r="Y19" s="85"/>
    </row>
    <row r="20" spans="1:25" s="74" customFormat="1" hidden="1" x14ac:dyDescent="0.25">
      <c r="A20" s="72" t="s">
        <v>86</v>
      </c>
      <c r="B20" s="73">
        <f>D20-F20</f>
        <v>47.75</v>
      </c>
      <c r="C20" s="73">
        <f>E20-G20</f>
        <v>47.75</v>
      </c>
      <c r="D20" s="73">
        <v>53.75</v>
      </c>
      <c r="E20" s="73">
        <f>D20</f>
        <v>53.75</v>
      </c>
      <c r="F20" s="73">
        <v>6</v>
      </c>
      <c r="G20" s="73">
        <v>6</v>
      </c>
      <c r="H20" s="73">
        <f>B20*(1+$B$7)</f>
        <v>54.435000000000009</v>
      </c>
      <c r="I20" s="73">
        <f>C20*(1+$B$7)</f>
        <v>54.435000000000009</v>
      </c>
      <c r="J20" s="73">
        <f>H20+F20</f>
        <v>60.435000000000009</v>
      </c>
      <c r="K20" s="73">
        <f>I20+G20</f>
        <v>60.435000000000009</v>
      </c>
      <c r="M20" s="73">
        <f t="shared" si="2"/>
        <v>54.5</v>
      </c>
      <c r="N20" s="73">
        <f t="shared" si="2"/>
        <v>54.5</v>
      </c>
      <c r="O20" s="73">
        <f t="shared" si="2"/>
        <v>60.5</v>
      </c>
      <c r="P20" s="73">
        <f t="shared" si="2"/>
        <v>60.5</v>
      </c>
      <c r="Y20" s="85"/>
    </row>
    <row r="21" spans="1:25" s="74" customFormat="1" hidden="1" x14ac:dyDescent="0.25">
      <c r="A21" s="80" t="s">
        <v>6</v>
      </c>
      <c r="B21" s="81"/>
      <c r="C21" s="81"/>
      <c r="D21" s="81"/>
      <c r="E21" s="81"/>
      <c r="F21" s="81"/>
      <c r="G21" s="81"/>
      <c r="H21" s="82"/>
      <c r="I21" s="82"/>
      <c r="J21" s="82"/>
      <c r="K21" s="82"/>
      <c r="L21" s="82"/>
      <c r="M21" s="82"/>
      <c r="N21" s="82"/>
      <c r="O21" s="82"/>
      <c r="P21" s="82"/>
      <c r="Q21" s="82"/>
      <c r="R21" s="82"/>
      <c r="S21" s="74" t="s">
        <v>74</v>
      </c>
      <c r="Y21" s="85"/>
    </row>
    <row r="22" spans="1:25" s="74" customFormat="1" hidden="1" x14ac:dyDescent="0.25">
      <c r="A22" s="72" t="s">
        <v>7</v>
      </c>
      <c r="B22" s="73">
        <f>D22-F22</f>
        <v>6.75</v>
      </c>
      <c r="C22" s="73">
        <f>E22-G22</f>
        <v>9.25</v>
      </c>
      <c r="D22" s="73">
        <v>7.75</v>
      </c>
      <c r="E22" s="73">
        <v>11.25</v>
      </c>
      <c r="F22" s="73">
        <v>1</v>
      </c>
      <c r="G22" s="73">
        <v>2</v>
      </c>
      <c r="H22" s="73">
        <f t="shared" ref="H22:I24" si="3">B22*(1+$B$7)</f>
        <v>7.6950000000000012</v>
      </c>
      <c r="I22" s="73">
        <f t="shared" si="3"/>
        <v>10.545000000000002</v>
      </c>
      <c r="J22" s="73">
        <f t="shared" ref="J22:K23" si="4">H22+F22</f>
        <v>8.6950000000000003</v>
      </c>
      <c r="K22" s="73">
        <f t="shared" si="4"/>
        <v>12.545000000000002</v>
      </c>
      <c r="M22" s="73">
        <f t="shared" ref="M22:P24" si="5">ROUND(H22,0)</f>
        <v>8</v>
      </c>
      <c r="N22" s="73">
        <f t="shared" si="5"/>
        <v>11</v>
      </c>
      <c r="O22" s="73">
        <f t="shared" si="5"/>
        <v>9</v>
      </c>
      <c r="P22" s="73">
        <f t="shared" si="5"/>
        <v>13</v>
      </c>
      <c r="Y22" s="85"/>
    </row>
    <row r="23" spans="1:25" s="74" customFormat="1" hidden="1" x14ac:dyDescent="0.25">
      <c r="A23" s="72" t="s">
        <v>8</v>
      </c>
      <c r="B23" s="73">
        <f t="shared" ref="B23:B24" si="6">D23-F23</f>
        <v>11.5</v>
      </c>
      <c r="C23" s="73">
        <f t="shared" ref="C23:C24" si="7">E23-G23</f>
        <v>13.75</v>
      </c>
      <c r="D23" s="73">
        <v>13.5</v>
      </c>
      <c r="E23" s="73">
        <v>16.75</v>
      </c>
      <c r="F23" s="73">
        <v>2</v>
      </c>
      <c r="G23" s="73">
        <v>3</v>
      </c>
      <c r="H23" s="73">
        <f t="shared" si="3"/>
        <v>13.110000000000001</v>
      </c>
      <c r="I23" s="73">
        <f t="shared" si="3"/>
        <v>15.675000000000002</v>
      </c>
      <c r="J23" s="73">
        <f t="shared" si="4"/>
        <v>15.110000000000001</v>
      </c>
      <c r="K23" s="73">
        <f t="shared" si="4"/>
        <v>18.675000000000004</v>
      </c>
      <c r="M23" s="73">
        <f t="shared" si="5"/>
        <v>13</v>
      </c>
      <c r="N23" s="73">
        <f t="shared" si="5"/>
        <v>16</v>
      </c>
      <c r="O23" s="73">
        <f t="shared" si="5"/>
        <v>15</v>
      </c>
      <c r="P23" s="73">
        <f t="shared" si="5"/>
        <v>19</v>
      </c>
      <c r="Y23" s="85"/>
    </row>
    <row r="24" spans="1:25" s="74" customFormat="1" hidden="1" x14ac:dyDescent="0.25">
      <c r="A24" s="72" t="s">
        <v>9</v>
      </c>
      <c r="B24" s="73">
        <f t="shared" si="6"/>
        <v>9.25</v>
      </c>
      <c r="C24" s="73">
        <f t="shared" si="7"/>
        <v>11.5</v>
      </c>
      <c r="D24" s="73">
        <v>11.25</v>
      </c>
      <c r="E24" s="73">
        <v>13.5</v>
      </c>
      <c r="F24" s="73">
        <v>2</v>
      </c>
      <c r="G24" s="73">
        <v>2</v>
      </c>
      <c r="H24" s="73">
        <f t="shared" si="3"/>
        <v>10.545000000000002</v>
      </c>
      <c r="I24" s="73">
        <f t="shared" si="3"/>
        <v>13.110000000000001</v>
      </c>
      <c r="J24" s="73">
        <f>H24+F24</f>
        <v>12.545000000000002</v>
      </c>
      <c r="K24" s="73">
        <f>I24+GF24</f>
        <v>13.110000000000001</v>
      </c>
      <c r="M24" s="73">
        <f t="shared" si="5"/>
        <v>11</v>
      </c>
      <c r="N24" s="73">
        <f t="shared" si="5"/>
        <v>13</v>
      </c>
      <c r="O24" s="73">
        <f t="shared" si="5"/>
        <v>13</v>
      </c>
      <c r="P24" s="73">
        <f t="shared" si="5"/>
        <v>13</v>
      </c>
      <c r="Y24" s="85"/>
    </row>
    <row r="25" spans="1:25" s="74" customFormat="1" hidden="1" x14ac:dyDescent="0.25">
      <c r="A25" s="80" t="s">
        <v>44</v>
      </c>
      <c r="B25" s="81"/>
      <c r="C25" s="81"/>
      <c r="D25" s="81"/>
      <c r="E25" s="81"/>
      <c r="F25" s="81"/>
      <c r="G25" s="81"/>
      <c r="H25" s="82"/>
      <c r="I25" s="82"/>
      <c r="J25" s="82"/>
      <c r="K25" s="82"/>
      <c r="L25" s="82"/>
      <c r="M25" s="82"/>
      <c r="N25" s="82"/>
      <c r="O25" s="82"/>
      <c r="P25" s="82"/>
      <c r="Q25" s="82"/>
      <c r="R25" s="82"/>
      <c r="Y25" s="85"/>
    </row>
    <row r="26" spans="1:25" s="74" customFormat="1" hidden="1" x14ac:dyDescent="0.25">
      <c r="A26" s="72" t="s">
        <v>10</v>
      </c>
      <c r="B26" s="73">
        <f>D26-F26</f>
        <v>195.5</v>
      </c>
      <c r="C26" s="73">
        <f>E26-G26</f>
        <v>195.5</v>
      </c>
      <c r="D26" s="73">
        <v>221.5</v>
      </c>
      <c r="E26" s="73">
        <f>D26</f>
        <v>221.5</v>
      </c>
      <c r="F26" s="73">
        <v>26</v>
      </c>
      <c r="G26" s="73">
        <v>26</v>
      </c>
      <c r="H26" s="73">
        <f t="shared" ref="H26:I28" si="8">B26*(1+$B$7)</f>
        <v>222.87000000000003</v>
      </c>
      <c r="I26" s="73">
        <f t="shared" si="8"/>
        <v>222.87000000000003</v>
      </c>
      <c r="J26" s="73">
        <f t="shared" ref="J26:K28" si="9">H26+F26</f>
        <v>248.87000000000003</v>
      </c>
      <c r="K26" s="73">
        <f t="shared" si="9"/>
        <v>248.87000000000003</v>
      </c>
      <c r="M26" s="73">
        <f t="shared" ref="M26:P28" si="10">ROUND(H26,0)</f>
        <v>223</v>
      </c>
      <c r="N26" s="73">
        <f t="shared" si="10"/>
        <v>223</v>
      </c>
      <c r="O26" s="73">
        <f t="shared" si="10"/>
        <v>249</v>
      </c>
      <c r="P26" s="73">
        <f t="shared" si="10"/>
        <v>249</v>
      </c>
      <c r="Y26" s="85"/>
    </row>
    <row r="27" spans="1:25" s="74" customFormat="1" hidden="1" x14ac:dyDescent="0.25">
      <c r="A27" s="72" t="s">
        <v>11</v>
      </c>
      <c r="B27" s="73">
        <f t="shared" ref="B27:B28" si="11">D27-F27</f>
        <v>157.25</v>
      </c>
      <c r="C27" s="73">
        <f t="shared" ref="C27:C28" si="12">E27-G27</f>
        <v>157.25</v>
      </c>
      <c r="D27" s="73">
        <v>177.25</v>
      </c>
      <c r="E27" s="73">
        <f>D27</f>
        <v>177.25</v>
      </c>
      <c r="F27" s="73">
        <v>20</v>
      </c>
      <c r="G27" s="73">
        <v>20</v>
      </c>
      <c r="H27" s="73">
        <f t="shared" si="8"/>
        <v>179.26500000000001</v>
      </c>
      <c r="I27" s="73">
        <f t="shared" si="8"/>
        <v>179.26500000000001</v>
      </c>
      <c r="J27" s="73">
        <f t="shared" si="9"/>
        <v>199.26500000000001</v>
      </c>
      <c r="K27" s="73">
        <f t="shared" si="9"/>
        <v>199.26500000000001</v>
      </c>
      <c r="M27" s="73">
        <f t="shared" si="10"/>
        <v>179</v>
      </c>
      <c r="N27" s="73">
        <f t="shared" si="10"/>
        <v>179</v>
      </c>
      <c r="O27" s="73">
        <f t="shared" si="10"/>
        <v>199</v>
      </c>
      <c r="P27" s="73">
        <f t="shared" si="10"/>
        <v>199</v>
      </c>
      <c r="Y27" s="85"/>
    </row>
    <row r="28" spans="1:25" s="74" customFormat="1" hidden="1" x14ac:dyDescent="0.25">
      <c r="A28" s="72" t="s">
        <v>301</v>
      </c>
      <c r="B28" s="73">
        <f t="shared" si="11"/>
        <v>114.75</v>
      </c>
      <c r="C28" s="73">
        <f t="shared" si="12"/>
        <v>114.75</v>
      </c>
      <c r="D28" s="73">
        <v>129.75</v>
      </c>
      <c r="E28" s="73">
        <f>D28</f>
        <v>129.75</v>
      </c>
      <c r="F28" s="73">
        <v>15</v>
      </c>
      <c r="G28" s="73">
        <v>15</v>
      </c>
      <c r="H28" s="73">
        <f t="shared" si="8"/>
        <v>130.81500000000003</v>
      </c>
      <c r="I28" s="73">
        <f t="shared" si="8"/>
        <v>130.81500000000003</v>
      </c>
      <c r="J28" s="73">
        <f t="shared" si="9"/>
        <v>145.81500000000003</v>
      </c>
      <c r="K28" s="73">
        <f t="shared" si="9"/>
        <v>145.81500000000003</v>
      </c>
      <c r="M28" s="73">
        <f t="shared" si="10"/>
        <v>131</v>
      </c>
      <c r="N28" s="73">
        <f t="shared" si="10"/>
        <v>131</v>
      </c>
      <c r="O28" s="73">
        <f t="shared" si="10"/>
        <v>146</v>
      </c>
      <c r="P28" s="73">
        <f t="shared" si="10"/>
        <v>146</v>
      </c>
      <c r="Y28" s="85"/>
    </row>
    <row r="29" spans="1:25" s="74" customFormat="1" hidden="1" x14ac:dyDescent="0.25">
      <c r="A29" s="71" t="s">
        <v>12</v>
      </c>
      <c r="B29" s="81"/>
      <c r="C29" s="81"/>
      <c r="D29" s="81"/>
      <c r="E29" s="81"/>
      <c r="F29" s="81"/>
      <c r="G29" s="81"/>
      <c r="H29" s="82"/>
      <c r="I29" s="82"/>
      <c r="J29" s="82"/>
      <c r="K29" s="82"/>
      <c r="L29" s="82"/>
      <c r="M29" s="82"/>
      <c r="N29" s="82"/>
      <c r="O29" s="82"/>
      <c r="P29" s="82"/>
      <c r="Q29" s="82"/>
      <c r="R29" s="82"/>
      <c r="Y29" s="85"/>
    </row>
    <row r="30" spans="1:25" s="74" customFormat="1" hidden="1" x14ac:dyDescent="0.25">
      <c r="A30" s="72" t="s">
        <v>13</v>
      </c>
      <c r="B30" s="73"/>
      <c r="C30" s="73">
        <v>120</v>
      </c>
      <c r="D30" s="73"/>
      <c r="E30" s="73">
        <v>150</v>
      </c>
      <c r="F30" s="73"/>
      <c r="G30" s="73">
        <v>30</v>
      </c>
      <c r="H30" s="73">
        <f t="shared" ref="H30:I33" si="13">B30*(1+$B$7)</f>
        <v>0</v>
      </c>
      <c r="I30" s="73">
        <f t="shared" si="13"/>
        <v>136.80000000000001</v>
      </c>
      <c r="J30" s="73">
        <f>H30+F30</f>
        <v>0</v>
      </c>
      <c r="K30" s="73">
        <f>E30*(1+$B$7)</f>
        <v>171.00000000000003</v>
      </c>
      <c r="M30" s="73">
        <f t="shared" ref="M30:P33" si="14">ROUND(H30,0)</f>
        <v>0</v>
      </c>
      <c r="N30" s="73">
        <f t="shared" si="14"/>
        <v>137</v>
      </c>
      <c r="O30" s="73">
        <f t="shared" si="14"/>
        <v>0</v>
      </c>
      <c r="P30" s="73">
        <f t="shared" si="14"/>
        <v>171</v>
      </c>
      <c r="Y30" s="85"/>
    </row>
    <row r="31" spans="1:25" s="74" customFormat="1" hidden="1" x14ac:dyDescent="0.25">
      <c r="A31" s="72" t="s">
        <v>14</v>
      </c>
      <c r="B31" s="73"/>
      <c r="C31" s="73">
        <v>100</v>
      </c>
      <c r="D31" s="73"/>
      <c r="E31" s="73">
        <v>120</v>
      </c>
      <c r="F31" s="73"/>
      <c r="G31" s="73">
        <v>20</v>
      </c>
      <c r="H31" s="73">
        <f t="shared" si="13"/>
        <v>0</v>
      </c>
      <c r="I31" s="73">
        <f t="shared" si="13"/>
        <v>114.00000000000001</v>
      </c>
      <c r="J31" s="73">
        <f>H31+F31</f>
        <v>0</v>
      </c>
      <c r="K31" s="73">
        <f>E31*(1+$B$7)</f>
        <v>136.80000000000001</v>
      </c>
      <c r="M31" s="73">
        <f t="shared" si="14"/>
        <v>0</v>
      </c>
      <c r="N31" s="73">
        <f t="shared" si="14"/>
        <v>114</v>
      </c>
      <c r="O31" s="73">
        <f t="shared" si="14"/>
        <v>0</v>
      </c>
      <c r="P31" s="73">
        <f t="shared" si="14"/>
        <v>137</v>
      </c>
      <c r="Y31" s="85"/>
    </row>
    <row r="32" spans="1:25" s="74" customFormat="1" hidden="1" x14ac:dyDescent="0.25">
      <c r="A32" s="72" t="s">
        <v>15</v>
      </c>
      <c r="B32" s="73">
        <v>100</v>
      </c>
      <c r="C32" s="73"/>
      <c r="D32" s="73">
        <v>120</v>
      </c>
      <c r="E32" s="73"/>
      <c r="F32" s="73">
        <v>20</v>
      </c>
      <c r="G32" s="73"/>
      <c r="H32" s="73">
        <f t="shared" si="13"/>
        <v>114.00000000000001</v>
      </c>
      <c r="I32" s="73">
        <f t="shared" si="13"/>
        <v>0</v>
      </c>
      <c r="J32" s="73">
        <f>H32+F32</f>
        <v>134</v>
      </c>
      <c r="K32" s="73">
        <f>E32*(1+$B$7)</f>
        <v>0</v>
      </c>
      <c r="M32" s="73">
        <f t="shared" si="14"/>
        <v>114</v>
      </c>
      <c r="N32" s="73">
        <f t="shared" si="14"/>
        <v>0</v>
      </c>
      <c r="O32" s="73">
        <f t="shared" si="14"/>
        <v>134</v>
      </c>
      <c r="P32" s="73">
        <f t="shared" si="14"/>
        <v>0</v>
      </c>
      <c r="Y32" s="85"/>
    </row>
    <row r="33" spans="1:25" s="74" customFormat="1" ht="16.899999999999999" hidden="1" customHeight="1" x14ac:dyDescent="0.25">
      <c r="A33" s="72" t="s">
        <v>16</v>
      </c>
      <c r="B33" s="73">
        <v>80</v>
      </c>
      <c r="C33" s="73"/>
      <c r="D33" s="73">
        <v>100</v>
      </c>
      <c r="E33" s="73"/>
      <c r="F33" s="73">
        <v>20</v>
      </c>
      <c r="G33" s="73"/>
      <c r="H33" s="73">
        <f t="shared" si="13"/>
        <v>91.200000000000017</v>
      </c>
      <c r="I33" s="73">
        <f t="shared" si="13"/>
        <v>0</v>
      </c>
      <c r="J33" s="73">
        <f>H33+F33</f>
        <v>111.20000000000002</v>
      </c>
      <c r="K33" s="73">
        <f>E33*(1+$B$7)</f>
        <v>0</v>
      </c>
      <c r="M33" s="73">
        <f t="shared" si="14"/>
        <v>91</v>
      </c>
      <c r="N33" s="73">
        <f t="shared" si="14"/>
        <v>0</v>
      </c>
      <c r="O33" s="73">
        <f t="shared" si="14"/>
        <v>111</v>
      </c>
      <c r="P33" s="73">
        <f t="shared" si="14"/>
        <v>0</v>
      </c>
      <c r="Y33" s="85"/>
    </row>
    <row r="34" spans="1:25" s="74" customFormat="1" hidden="1" x14ac:dyDescent="0.25">
      <c r="A34" s="80" t="s">
        <v>17</v>
      </c>
      <c r="B34" s="81"/>
      <c r="C34" s="81"/>
      <c r="D34" s="81"/>
      <c r="E34" s="81"/>
      <c r="F34" s="81"/>
      <c r="G34" s="81"/>
      <c r="H34" s="82"/>
      <c r="I34" s="82"/>
      <c r="J34" s="82"/>
      <c r="K34" s="82"/>
      <c r="L34" s="82"/>
      <c r="M34" s="82"/>
      <c r="N34" s="82"/>
      <c r="O34" s="82"/>
      <c r="P34" s="82"/>
      <c r="Q34" s="82"/>
      <c r="R34" s="82"/>
      <c r="Y34" s="85"/>
    </row>
    <row r="35" spans="1:25" s="74" customFormat="1" hidden="1" x14ac:dyDescent="0.25">
      <c r="A35" s="72" t="s">
        <v>18</v>
      </c>
      <c r="B35" s="73">
        <f>D35-F35</f>
        <v>13</v>
      </c>
      <c r="C35" s="73">
        <f>E35-G35</f>
        <v>16</v>
      </c>
      <c r="D35" s="73">
        <v>17</v>
      </c>
      <c r="E35" s="73">
        <v>21</v>
      </c>
      <c r="F35" s="73">
        <v>4</v>
      </c>
      <c r="G35" s="73">
        <v>5</v>
      </c>
      <c r="H35" s="73">
        <f t="shared" ref="H35:I44" si="15">B35*(1+$B$7)</f>
        <v>14.820000000000002</v>
      </c>
      <c r="I35" s="73">
        <f t="shared" si="15"/>
        <v>18.240000000000002</v>
      </c>
      <c r="J35" s="73">
        <f t="shared" ref="J35:K44" si="16">H35+F35</f>
        <v>18.82</v>
      </c>
      <c r="K35" s="73">
        <f>I35+G35</f>
        <v>23.240000000000002</v>
      </c>
      <c r="M35" s="73">
        <f t="shared" ref="M35:P44" si="17">ROUND(H35,0)</f>
        <v>15</v>
      </c>
      <c r="N35" s="73">
        <f t="shared" si="17"/>
        <v>18</v>
      </c>
      <c r="O35" s="73">
        <f t="shared" si="17"/>
        <v>19</v>
      </c>
      <c r="P35" s="73">
        <f t="shared" si="17"/>
        <v>23</v>
      </c>
      <c r="Y35" s="85"/>
    </row>
    <row r="36" spans="1:25" s="74" customFormat="1" hidden="1" x14ac:dyDescent="0.25">
      <c r="A36" s="72" t="s">
        <v>19</v>
      </c>
      <c r="B36" s="73">
        <f t="shared" ref="B36:B44" si="18">D36-F36</f>
        <v>19</v>
      </c>
      <c r="C36" s="73">
        <f t="shared" ref="C36:C44" si="19">E36-G36</f>
        <v>23</v>
      </c>
      <c r="D36" s="73">
        <v>25</v>
      </c>
      <c r="E36" s="73">
        <v>30</v>
      </c>
      <c r="F36" s="73">
        <v>6</v>
      </c>
      <c r="G36" s="73">
        <v>7</v>
      </c>
      <c r="H36" s="73">
        <f t="shared" si="15"/>
        <v>21.660000000000004</v>
      </c>
      <c r="I36" s="73">
        <f t="shared" si="15"/>
        <v>26.220000000000002</v>
      </c>
      <c r="J36" s="73">
        <f t="shared" si="16"/>
        <v>27.660000000000004</v>
      </c>
      <c r="K36" s="73">
        <f t="shared" si="16"/>
        <v>33.22</v>
      </c>
      <c r="M36" s="73">
        <f t="shared" si="17"/>
        <v>22</v>
      </c>
      <c r="N36" s="73">
        <f t="shared" si="17"/>
        <v>26</v>
      </c>
      <c r="O36" s="73">
        <f t="shared" si="17"/>
        <v>28</v>
      </c>
      <c r="P36" s="73">
        <f t="shared" si="17"/>
        <v>33</v>
      </c>
      <c r="Y36" s="85"/>
    </row>
    <row r="37" spans="1:25" s="74" customFormat="1" hidden="1" x14ac:dyDescent="0.25">
      <c r="A37" s="72" t="s">
        <v>20</v>
      </c>
      <c r="B37" s="73">
        <f t="shared" si="18"/>
        <v>25</v>
      </c>
      <c r="C37" s="73">
        <f t="shared" si="19"/>
        <v>30</v>
      </c>
      <c r="D37" s="73">
        <v>33</v>
      </c>
      <c r="E37" s="73">
        <v>39</v>
      </c>
      <c r="F37" s="73">
        <v>8</v>
      </c>
      <c r="G37" s="73">
        <v>9</v>
      </c>
      <c r="H37" s="73">
        <f t="shared" si="15"/>
        <v>28.500000000000004</v>
      </c>
      <c r="I37" s="73">
        <f t="shared" si="15"/>
        <v>34.200000000000003</v>
      </c>
      <c r="J37" s="73">
        <f t="shared" si="16"/>
        <v>36.5</v>
      </c>
      <c r="K37" s="73">
        <f t="shared" si="16"/>
        <v>43.2</v>
      </c>
      <c r="M37" s="73">
        <f t="shared" si="17"/>
        <v>29</v>
      </c>
      <c r="N37" s="73">
        <f t="shared" si="17"/>
        <v>34</v>
      </c>
      <c r="O37" s="73">
        <f t="shared" si="17"/>
        <v>37</v>
      </c>
      <c r="P37" s="73">
        <f t="shared" si="17"/>
        <v>43</v>
      </c>
      <c r="Y37" s="85"/>
    </row>
    <row r="38" spans="1:25" s="74" customFormat="1" hidden="1" x14ac:dyDescent="0.25">
      <c r="A38" s="72" t="s">
        <v>21</v>
      </c>
      <c r="B38" s="73">
        <f t="shared" si="18"/>
        <v>32</v>
      </c>
      <c r="C38" s="73">
        <f t="shared" si="19"/>
        <v>39</v>
      </c>
      <c r="D38" s="73">
        <v>42</v>
      </c>
      <c r="E38" s="73">
        <v>51</v>
      </c>
      <c r="F38" s="73">
        <v>10</v>
      </c>
      <c r="G38" s="73">
        <v>12</v>
      </c>
      <c r="H38" s="73">
        <f t="shared" si="15"/>
        <v>36.480000000000004</v>
      </c>
      <c r="I38" s="73">
        <f t="shared" si="15"/>
        <v>44.460000000000008</v>
      </c>
      <c r="J38" s="73">
        <f t="shared" si="16"/>
        <v>46.480000000000004</v>
      </c>
      <c r="K38" s="73">
        <f t="shared" si="16"/>
        <v>56.460000000000008</v>
      </c>
      <c r="M38" s="73">
        <f t="shared" si="17"/>
        <v>36</v>
      </c>
      <c r="N38" s="73">
        <f t="shared" si="17"/>
        <v>44</v>
      </c>
      <c r="O38" s="73">
        <f t="shared" si="17"/>
        <v>46</v>
      </c>
      <c r="P38" s="73">
        <f t="shared" si="17"/>
        <v>56</v>
      </c>
      <c r="Y38" s="85"/>
    </row>
    <row r="39" spans="1:25" s="74" customFormat="1" hidden="1" x14ac:dyDescent="0.25">
      <c r="A39" s="72" t="s">
        <v>22</v>
      </c>
      <c r="B39" s="73">
        <f t="shared" si="18"/>
        <v>40</v>
      </c>
      <c r="C39" s="73">
        <f t="shared" si="19"/>
        <v>49</v>
      </c>
      <c r="D39" s="73">
        <v>52</v>
      </c>
      <c r="E39" s="73">
        <v>64</v>
      </c>
      <c r="F39" s="73">
        <v>12</v>
      </c>
      <c r="G39" s="73">
        <v>15</v>
      </c>
      <c r="H39" s="73">
        <f t="shared" si="15"/>
        <v>45.600000000000009</v>
      </c>
      <c r="I39" s="73">
        <f t="shared" si="15"/>
        <v>55.860000000000007</v>
      </c>
      <c r="J39" s="73">
        <f t="shared" si="16"/>
        <v>57.600000000000009</v>
      </c>
      <c r="K39" s="73">
        <f t="shared" si="16"/>
        <v>70.860000000000014</v>
      </c>
      <c r="M39" s="73">
        <f t="shared" si="17"/>
        <v>46</v>
      </c>
      <c r="N39" s="73">
        <f t="shared" si="17"/>
        <v>56</v>
      </c>
      <c r="O39" s="73">
        <f t="shared" si="17"/>
        <v>58</v>
      </c>
      <c r="P39" s="73">
        <f t="shared" si="17"/>
        <v>71</v>
      </c>
      <c r="Y39" s="85"/>
    </row>
    <row r="40" spans="1:25" s="74" customFormat="1" hidden="1" x14ac:dyDescent="0.25">
      <c r="A40" s="72" t="s">
        <v>23</v>
      </c>
      <c r="B40" s="73">
        <f t="shared" si="18"/>
        <v>49</v>
      </c>
      <c r="C40" s="73">
        <f t="shared" si="19"/>
        <v>60</v>
      </c>
      <c r="D40" s="73">
        <v>64</v>
      </c>
      <c r="E40" s="73">
        <v>78</v>
      </c>
      <c r="F40" s="73">
        <v>15</v>
      </c>
      <c r="G40" s="73">
        <v>18</v>
      </c>
      <c r="H40" s="73">
        <f t="shared" si="15"/>
        <v>55.860000000000007</v>
      </c>
      <c r="I40" s="73">
        <f t="shared" si="15"/>
        <v>68.400000000000006</v>
      </c>
      <c r="J40" s="73">
        <f t="shared" si="16"/>
        <v>70.860000000000014</v>
      </c>
      <c r="K40" s="73">
        <f t="shared" si="16"/>
        <v>86.4</v>
      </c>
      <c r="M40" s="73">
        <f t="shared" si="17"/>
        <v>56</v>
      </c>
      <c r="N40" s="73">
        <f t="shared" si="17"/>
        <v>68</v>
      </c>
      <c r="O40" s="73">
        <f t="shared" si="17"/>
        <v>71</v>
      </c>
      <c r="P40" s="73">
        <f t="shared" si="17"/>
        <v>86</v>
      </c>
      <c r="Y40" s="85"/>
    </row>
    <row r="41" spans="1:25" s="74" customFormat="1" hidden="1" x14ac:dyDescent="0.25">
      <c r="A41" s="72" t="s">
        <v>24</v>
      </c>
      <c r="B41" s="73">
        <f t="shared" si="18"/>
        <v>59</v>
      </c>
      <c r="C41" s="73">
        <f t="shared" si="19"/>
        <v>72</v>
      </c>
      <c r="D41" s="73">
        <v>77</v>
      </c>
      <c r="E41" s="73">
        <v>94</v>
      </c>
      <c r="F41" s="73">
        <v>18</v>
      </c>
      <c r="G41" s="73">
        <v>22</v>
      </c>
      <c r="H41" s="73">
        <f t="shared" si="15"/>
        <v>67.260000000000005</v>
      </c>
      <c r="I41" s="73">
        <f t="shared" si="15"/>
        <v>82.080000000000013</v>
      </c>
      <c r="J41" s="73">
        <f t="shared" si="16"/>
        <v>85.26</v>
      </c>
      <c r="K41" s="73">
        <f t="shared" si="16"/>
        <v>104.08000000000001</v>
      </c>
      <c r="M41" s="73">
        <f t="shared" si="17"/>
        <v>67</v>
      </c>
      <c r="N41" s="73">
        <f t="shared" si="17"/>
        <v>82</v>
      </c>
      <c r="O41" s="73">
        <f t="shared" si="17"/>
        <v>85</v>
      </c>
      <c r="P41" s="73">
        <f t="shared" si="17"/>
        <v>104</v>
      </c>
      <c r="Y41" s="85"/>
    </row>
    <row r="42" spans="1:25" s="74" customFormat="1" hidden="1" x14ac:dyDescent="0.25">
      <c r="A42" s="72" t="s">
        <v>25</v>
      </c>
      <c r="B42" s="73">
        <f t="shared" si="18"/>
        <v>69</v>
      </c>
      <c r="C42" s="73">
        <f t="shared" si="19"/>
        <v>84</v>
      </c>
      <c r="D42" s="73">
        <v>90</v>
      </c>
      <c r="E42" s="73">
        <v>109</v>
      </c>
      <c r="F42" s="73">
        <v>21</v>
      </c>
      <c r="G42" s="73">
        <v>25</v>
      </c>
      <c r="H42" s="73">
        <f t="shared" si="15"/>
        <v>78.660000000000011</v>
      </c>
      <c r="I42" s="73">
        <f t="shared" si="15"/>
        <v>95.76</v>
      </c>
      <c r="J42" s="73">
        <f t="shared" si="16"/>
        <v>99.660000000000011</v>
      </c>
      <c r="K42" s="73">
        <f t="shared" si="16"/>
        <v>120.76</v>
      </c>
      <c r="M42" s="73">
        <f t="shared" si="17"/>
        <v>79</v>
      </c>
      <c r="N42" s="73">
        <f t="shared" si="17"/>
        <v>96</v>
      </c>
      <c r="O42" s="73">
        <f t="shared" si="17"/>
        <v>100</v>
      </c>
      <c r="P42" s="73">
        <f t="shared" si="17"/>
        <v>121</v>
      </c>
      <c r="Y42" s="85"/>
    </row>
    <row r="43" spans="1:25" s="74" customFormat="1" hidden="1" x14ac:dyDescent="0.25">
      <c r="A43" s="72" t="s">
        <v>26</v>
      </c>
      <c r="B43" s="73">
        <f t="shared" si="18"/>
        <v>81</v>
      </c>
      <c r="C43" s="73">
        <f t="shared" si="19"/>
        <v>99</v>
      </c>
      <c r="D43" s="73">
        <v>105</v>
      </c>
      <c r="E43" s="73">
        <v>129</v>
      </c>
      <c r="F43" s="73">
        <v>24</v>
      </c>
      <c r="G43" s="73">
        <v>30</v>
      </c>
      <c r="H43" s="73">
        <f t="shared" si="15"/>
        <v>92.34</v>
      </c>
      <c r="I43" s="73">
        <f t="shared" si="15"/>
        <v>112.86000000000001</v>
      </c>
      <c r="J43" s="73">
        <f t="shared" si="16"/>
        <v>116.34</v>
      </c>
      <c r="K43" s="73">
        <f t="shared" si="16"/>
        <v>142.86000000000001</v>
      </c>
      <c r="M43" s="73">
        <f t="shared" si="17"/>
        <v>92</v>
      </c>
      <c r="N43" s="73">
        <f t="shared" si="17"/>
        <v>113</v>
      </c>
      <c r="O43" s="73">
        <f t="shared" si="17"/>
        <v>116</v>
      </c>
      <c r="P43" s="73">
        <f t="shared" si="17"/>
        <v>143</v>
      </c>
      <c r="Y43" s="85"/>
    </row>
    <row r="44" spans="1:25" s="74" customFormat="1" hidden="1" x14ac:dyDescent="0.25">
      <c r="A44" s="72" t="s">
        <v>27</v>
      </c>
      <c r="B44" s="73">
        <f t="shared" si="18"/>
        <v>6</v>
      </c>
      <c r="C44" s="73">
        <f t="shared" si="19"/>
        <v>6</v>
      </c>
      <c r="D44" s="73">
        <v>8</v>
      </c>
      <c r="E44" s="73">
        <v>8</v>
      </c>
      <c r="F44" s="83">
        <v>2</v>
      </c>
      <c r="G44" s="83">
        <v>2</v>
      </c>
      <c r="H44" s="73">
        <f t="shared" si="15"/>
        <v>6.8400000000000007</v>
      </c>
      <c r="I44" s="73">
        <f t="shared" si="15"/>
        <v>6.8400000000000007</v>
      </c>
      <c r="J44" s="73">
        <f t="shared" si="16"/>
        <v>8.84</v>
      </c>
      <c r="K44" s="73">
        <f t="shared" si="16"/>
        <v>8.84</v>
      </c>
      <c r="M44" s="73">
        <f t="shared" si="17"/>
        <v>7</v>
      </c>
      <c r="N44" s="73">
        <f t="shared" si="17"/>
        <v>7</v>
      </c>
      <c r="O44" s="73">
        <f t="shared" si="17"/>
        <v>9</v>
      </c>
      <c r="P44" s="73">
        <f t="shared" si="17"/>
        <v>9</v>
      </c>
      <c r="Y44" s="85"/>
    </row>
    <row r="45" spans="1:25" s="74" customFormat="1" hidden="1" x14ac:dyDescent="0.25">
      <c r="A45" s="72" t="s">
        <v>28</v>
      </c>
      <c r="B45" s="73"/>
      <c r="C45" s="73"/>
      <c r="D45" s="73"/>
      <c r="E45" s="73"/>
      <c r="F45" s="73"/>
      <c r="G45" s="73"/>
      <c r="Y45" s="85"/>
    </row>
    <row r="46" spans="1:25" s="74" customFormat="1" hidden="1" x14ac:dyDescent="0.25">
      <c r="A46" s="80" t="s">
        <v>29</v>
      </c>
      <c r="B46" s="81"/>
      <c r="C46" s="81"/>
      <c r="D46" s="81"/>
      <c r="E46" s="81"/>
      <c r="F46" s="81"/>
      <c r="G46" s="81"/>
      <c r="H46" s="82"/>
      <c r="I46" s="82"/>
      <c r="J46" s="82"/>
      <c r="K46" s="82"/>
      <c r="L46" s="82"/>
      <c r="M46" s="82"/>
      <c r="N46" s="82"/>
      <c r="O46" s="82"/>
      <c r="P46" s="82"/>
      <c r="Q46" s="82"/>
      <c r="R46" s="82"/>
      <c r="Y46" s="85"/>
    </row>
    <row r="47" spans="1:25" s="74" customFormat="1" hidden="1" x14ac:dyDescent="0.25">
      <c r="A47" s="72" t="s">
        <v>30</v>
      </c>
      <c r="B47" s="73">
        <f>D47-F47</f>
        <v>95</v>
      </c>
      <c r="C47" s="73">
        <f>E47-G47</f>
        <v>95</v>
      </c>
      <c r="D47" s="73">
        <v>124</v>
      </c>
      <c r="E47" s="73">
        <v>124</v>
      </c>
      <c r="F47" s="73">
        <v>29</v>
      </c>
      <c r="G47" s="73">
        <v>29</v>
      </c>
      <c r="H47" s="73">
        <f t="shared" ref="H47:I51" si="20">B47*(1+$B$7)</f>
        <v>108.30000000000001</v>
      </c>
      <c r="I47" s="73">
        <f t="shared" si="20"/>
        <v>108.30000000000001</v>
      </c>
      <c r="J47" s="73">
        <f>H47+F47</f>
        <v>137.30000000000001</v>
      </c>
      <c r="K47" s="73">
        <f>E47*(1+$B$7)</f>
        <v>141.36000000000001</v>
      </c>
      <c r="M47" s="73">
        <f t="shared" ref="M47:P51" si="21">ROUND(H47,0)</f>
        <v>108</v>
      </c>
      <c r="N47" s="73">
        <f t="shared" si="21"/>
        <v>108</v>
      </c>
      <c r="O47" s="73">
        <f t="shared" si="21"/>
        <v>137</v>
      </c>
      <c r="P47" s="73">
        <f t="shared" si="21"/>
        <v>141</v>
      </c>
      <c r="Y47" s="85"/>
    </row>
    <row r="48" spans="1:25" s="74" customFormat="1" hidden="1" x14ac:dyDescent="0.25">
      <c r="A48" s="72" t="s">
        <v>31</v>
      </c>
      <c r="B48" s="73">
        <f t="shared" ref="B48:B51" si="22">D48-F48</f>
        <v>120</v>
      </c>
      <c r="C48" s="73">
        <f t="shared" ref="C48:C51" si="23">E48-G48</f>
        <v>120</v>
      </c>
      <c r="D48" s="73">
        <v>120</v>
      </c>
      <c r="E48" s="73">
        <v>120</v>
      </c>
      <c r="F48" s="73"/>
      <c r="G48" s="73"/>
      <c r="H48" s="73">
        <f t="shared" si="20"/>
        <v>136.80000000000001</v>
      </c>
      <c r="I48" s="73">
        <f t="shared" si="20"/>
        <v>136.80000000000001</v>
      </c>
      <c r="J48" s="73">
        <f>H48+F48</f>
        <v>136.80000000000001</v>
      </c>
      <c r="K48" s="73">
        <f>E48*(1+$B$7)</f>
        <v>136.80000000000001</v>
      </c>
      <c r="M48" s="73">
        <f t="shared" si="21"/>
        <v>137</v>
      </c>
      <c r="N48" s="73">
        <f t="shared" si="21"/>
        <v>137</v>
      </c>
      <c r="O48" s="73">
        <f t="shared" si="21"/>
        <v>137</v>
      </c>
      <c r="P48" s="73">
        <f t="shared" si="21"/>
        <v>137</v>
      </c>
      <c r="Y48" s="85"/>
    </row>
    <row r="49" spans="1:25" s="74" customFormat="1" hidden="1" x14ac:dyDescent="0.25">
      <c r="A49" s="72" t="s">
        <v>32</v>
      </c>
      <c r="B49" s="73">
        <f t="shared" si="22"/>
        <v>500</v>
      </c>
      <c r="C49" s="73">
        <f t="shared" si="23"/>
        <v>500</v>
      </c>
      <c r="D49" s="73">
        <v>500</v>
      </c>
      <c r="E49" s="73">
        <v>500</v>
      </c>
      <c r="F49" s="73"/>
      <c r="G49" s="73"/>
      <c r="H49" s="73">
        <f t="shared" si="20"/>
        <v>570.00000000000011</v>
      </c>
      <c r="I49" s="73">
        <f t="shared" si="20"/>
        <v>570.00000000000011</v>
      </c>
      <c r="J49" s="73">
        <f>H49+F49</f>
        <v>570.00000000000011</v>
      </c>
      <c r="K49" s="73">
        <f>E49*(1+$B$7)</f>
        <v>570.00000000000011</v>
      </c>
      <c r="M49" s="73">
        <f t="shared" si="21"/>
        <v>570</v>
      </c>
      <c r="N49" s="73">
        <f t="shared" si="21"/>
        <v>570</v>
      </c>
      <c r="O49" s="73">
        <f t="shared" si="21"/>
        <v>570</v>
      </c>
      <c r="P49" s="73">
        <f t="shared" si="21"/>
        <v>570</v>
      </c>
      <c r="Y49" s="85"/>
    </row>
    <row r="50" spans="1:25" s="74" customFormat="1" hidden="1" x14ac:dyDescent="0.25">
      <c r="A50" s="72" t="s">
        <v>33</v>
      </c>
      <c r="B50" s="73">
        <f t="shared" si="22"/>
        <v>1200</v>
      </c>
      <c r="C50" s="73">
        <f t="shared" si="23"/>
        <v>1200</v>
      </c>
      <c r="D50" s="73">
        <v>1200</v>
      </c>
      <c r="E50" s="73">
        <v>1200</v>
      </c>
      <c r="F50" s="73"/>
      <c r="G50" s="73"/>
      <c r="H50" s="73">
        <f t="shared" si="20"/>
        <v>1368.0000000000002</v>
      </c>
      <c r="I50" s="73">
        <f t="shared" si="20"/>
        <v>1368.0000000000002</v>
      </c>
      <c r="J50" s="73">
        <f>H50+F50</f>
        <v>1368.0000000000002</v>
      </c>
      <c r="K50" s="73">
        <f>E50*(1+$B$7)</f>
        <v>1368.0000000000002</v>
      </c>
      <c r="M50" s="73">
        <f t="shared" si="21"/>
        <v>1368</v>
      </c>
      <c r="N50" s="73">
        <f t="shared" si="21"/>
        <v>1368</v>
      </c>
      <c r="O50" s="73">
        <f t="shared" si="21"/>
        <v>1368</v>
      </c>
      <c r="P50" s="73">
        <f t="shared" si="21"/>
        <v>1368</v>
      </c>
      <c r="Y50" s="85"/>
    </row>
    <row r="51" spans="1:25" s="74" customFormat="1" hidden="1" x14ac:dyDescent="0.25">
      <c r="A51" s="72" t="s">
        <v>55</v>
      </c>
      <c r="B51" s="73">
        <f t="shared" si="22"/>
        <v>400</v>
      </c>
      <c r="C51" s="73">
        <f t="shared" si="23"/>
        <v>400</v>
      </c>
      <c r="D51" s="73">
        <v>400</v>
      </c>
      <c r="E51" s="73">
        <v>400</v>
      </c>
      <c r="F51" s="73"/>
      <c r="G51" s="73"/>
      <c r="H51" s="73">
        <f t="shared" si="20"/>
        <v>456.00000000000006</v>
      </c>
      <c r="I51" s="73">
        <f t="shared" si="20"/>
        <v>456.00000000000006</v>
      </c>
      <c r="J51" s="73">
        <f>H51+F51</f>
        <v>456.00000000000006</v>
      </c>
      <c r="K51" s="73">
        <f>E51*(1+$B$7)</f>
        <v>456.00000000000006</v>
      </c>
      <c r="M51" s="73">
        <f t="shared" si="21"/>
        <v>456</v>
      </c>
      <c r="N51" s="73">
        <f t="shared" si="21"/>
        <v>456</v>
      </c>
      <c r="O51" s="73">
        <f t="shared" si="21"/>
        <v>456</v>
      </c>
      <c r="P51" s="73">
        <f t="shared" si="21"/>
        <v>456</v>
      </c>
      <c r="Y51" s="85"/>
    </row>
    <row r="52" spans="1:25" ht="13.9" customHeight="1" thickTop="1" x14ac:dyDescent="0.25">
      <c r="A52" s="2"/>
      <c r="B52" s="3"/>
      <c r="C52" s="3"/>
      <c r="D52" s="3"/>
      <c r="E52" s="3"/>
      <c r="F52" s="3"/>
      <c r="G52" s="3"/>
      <c r="H52" s="3"/>
      <c r="I52" s="3"/>
      <c r="J52" s="3"/>
      <c r="K52" s="3"/>
      <c r="M52" s="3"/>
      <c r="N52" s="3"/>
      <c r="O52" s="3"/>
      <c r="P52" s="3"/>
    </row>
    <row r="53" spans="1:25" ht="28.5" customHeight="1" x14ac:dyDescent="0.25">
      <c r="A53" s="2"/>
      <c r="B53" s="521" t="s">
        <v>477</v>
      </c>
      <c r="C53" s="521"/>
      <c r="D53" s="524" t="s">
        <v>151</v>
      </c>
      <c r="E53" s="524"/>
      <c r="F53" s="522" t="s">
        <v>152</v>
      </c>
      <c r="G53" s="523"/>
      <c r="H53" s="522" t="s">
        <v>153</v>
      </c>
      <c r="I53" s="523"/>
      <c r="J53" s="3"/>
      <c r="K53" s="3"/>
      <c r="M53" s="3"/>
      <c r="N53" s="3"/>
      <c r="O53" s="3"/>
      <c r="P53" s="3"/>
    </row>
    <row r="54" spans="1:25" ht="15.75" customHeight="1" x14ac:dyDescent="0.25">
      <c r="A54" s="95" t="s">
        <v>0</v>
      </c>
      <c r="B54" s="43" t="s">
        <v>35</v>
      </c>
      <c r="C54" s="43" t="s">
        <v>34</v>
      </c>
      <c r="D54" s="43" t="s">
        <v>35</v>
      </c>
      <c r="E54" s="43" t="s">
        <v>34</v>
      </c>
      <c r="F54" s="43" t="s">
        <v>35</v>
      </c>
      <c r="G54" s="43" t="s">
        <v>34</v>
      </c>
      <c r="H54" s="43" t="s">
        <v>35</v>
      </c>
      <c r="I54" s="43" t="s">
        <v>34</v>
      </c>
      <c r="L54" s="9"/>
      <c r="M54" s="9"/>
      <c r="N54" s="9"/>
      <c r="O54" s="9"/>
    </row>
    <row r="55" spans="1:25" x14ac:dyDescent="0.25">
      <c r="A55" s="1" t="s">
        <v>1</v>
      </c>
      <c r="B55" s="6">
        <f>(D55+F55)/2</f>
        <v>15603.5</v>
      </c>
      <c r="C55" s="6">
        <f>(E55+G55)/2</f>
        <v>16979</v>
      </c>
      <c r="D55" s="6">
        <v>12790</v>
      </c>
      <c r="E55" s="6">
        <v>15257</v>
      </c>
      <c r="F55" s="6">
        <v>18417</v>
      </c>
      <c r="G55" s="6">
        <v>18701</v>
      </c>
      <c r="H55" s="94">
        <f>(F55-D55)/D55</f>
        <v>0.43995308835027364</v>
      </c>
      <c r="I55" s="436">
        <f>(G55-E55)/E55</f>
        <v>0.22573245067837713</v>
      </c>
      <c r="L55" s="9"/>
      <c r="M55" s="9"/>
      <c r="N55" s="9"/>
      <c r="O55" s="9"/>
    </row>
    <row r="56" spans="1:25" x14ac:dyDescent="0.25">
      <c r="A56" s="1" t="s">
        <v>2</v>
      </c>
      <c r="B56" s="6">
        <f t="shared" ref="B56:B85" si="24">(D56+F56)/2</f>
        <v>8084</v>
      </c>
      <c r="C56" s="6">
        <f t="shared" ref="C56:C85" si="25">(E56+G56)/2</f>
        <v>7964</v>
      </c>
      <c r="D56" s="6">
        <v>5133</v>
      </c>
      <c r="E56" s="6">
        <v>6069</v>
      </c>
      <c r="F56" s="6">
        <v>11035</v>
      </c>
      <c r="G56" s="6">
        <v>9859</v>
      </c>
      <c r="H56" s="94">
        <f t="shared" ref="H56:H84" si="26">(F56-D56)/D56</f>
        <v>1.1498149230469512</v>
      </c>
      <c r="I56" s="198">
        <f t="shared" ref="I56:I58" si="27">(G56-E56)/E56</f>
        <v>0.62448508815290826</v>
      </c>
      <c r="J56" s="6"/>
      <c r="L56" s="9"/>
      <c r="M56" s="9"/>
      <c r="N56" s="9"/>
      <c r="O56" s="9"/>
    </row>
    <row r="57" spans="1:25" x14ac:dyDescent="0.25">
      <c r="A57" s="1" t="s">
        <v>303</v>
      </c>
      <c r="B57" s="6">
        <f t="shared" si="24"/>
        <v>483.5</v>
      </c>
      <c r="C57" s="6">
        <f t="shared" si="25"/>
        <v>1292.5</v>
      </c>
      <c r="D57" s="6">
        <v>440</v>
      </c>
      <c r="E57" s="6">
        <v>1194</v>
      </c>
      <c r="F57" s="6">
        <v>527</v>
      </c>
      <c r="G57" s="6">
        <v>1391</v>
      </c>
      <c r="H57" s="94">
        <f t="shared" si="26"/>
        <v>0.19772727272727272</v>
      </c>
      <c r="I57" s="198">
        <f t="shared" si="27"/>
        <v>0.16499162479061977</v>
      </c>
      <c r="J57" s="121"/>
      <c r="K57" s="121"/>
      <c r="L57" s="9"/>
      <c r="M57" s="9"/>
      <c r="N57" s="9"/>
      <c r="O57" s="9"/>
    </row>
    <row r="58" spans="1:25" x14ac:dyDescent="0.25">
      <c r="A58" s="1" t="s">
        <v>306</v>
      </c>
      <c r="B58" s="6">
        <f t="shared" si="24"/>
        <v>402</v>
      </c>
      <c r="C58" s="6">
        <f t="shared" si="25"/>
        <v>1133</v>
      </c>
      <c r="D58" s="6">
        <v>298</v>
      </c>
      <c r="E58" s="6">
        <v>951</v>
      </c>
      <c r="F58" s="6">
        <v>506</v>
      </c>
      <c r="G58" s="6">
        <v>1315</v>
      </c>
      <c r="H58" s="94">
        <f t="shared" si="26"/>
        <v>0.69798657718120805</v>
      </c>
      <c r="I58" s="198">
        <f t="shared" si="27"/>
        <v>0.38275499474237645</v>
      </c>
      <c r="J58" s="6"/>
      <c r="K58" s="6"/>
      <c r="L58" s="9"/>
      <c r="M58" s="9"/>
      <c r="N58" s="9"/>
      <c r="O58" s="9"/>
    </row>
    <row r="59" spans="1:25" x14ac:dyDescent="0.25">
      <c r="A59" s="95" t="s">
        <v>0</v>
      </c>
      <c r="B59" s="6"/>
      <c r="C59" s="6"/>
      <c r="D59" s="6"/>
      <c r="E59" s="6"/>
      <c r="F59" s="6"/>
      <c r="G59" s="6"/>
      <c r="H59" s="94"/>
      <c r="I59" s="198"/>
      <c r="J59" s="6"/>
      <c r="K59" s="6"/>
      <c r="L59" s="9"/>
      <c r="M59" s="9"/>
      <c r="N59" s="9"/>
      <c r="O59" s="9"/>
    </row>
    <row r="60" spans="1:25" x14ac:dyDescent="0.25">
      <c r="A60" s="1" t="s">
        <v>4</v>
      </c>
      <c r="B60" s="6">
        <f t="shared" si="24"/>
        <v>556</v>
      </c>
      <c r="C60" s="6">
        <f t="shared" si="25"/>
        <v>159.5</v>
      </c>
      <c r="D60" s="6">
        <f>20675/25</f>
        <v>827</v>
      </c>
      <c r="E60" s="6"/>
      <c r="F60" s="6">
        <f>7125/25</f>
        <v>285</v>
      </c>
      <c r="G60" s="6">
        <f>7975/25</f>
        <v>319</v>
      </c>
      <c r="H60" s="94">
        <f t="shared" si="26"/>
        <v>-0.65538089480048367</v>
      </c>
      <c r="I60" s="198"/>
      <c r="J60" s="6"/>
      <c r="L60" s="9"/>
      <c r="M60" s="9"/>
      <c r="N60" s="9"/>
      <c r="O60" s="9"/>
    </row>
    <row r="61" spans="1:25" x14ac:dyDescent="0.25">
      <c r="A61" s="1" t="s">
        <v>86</v>
      </c>
      <c r="B61" s="6">
        <f t="shared" si="24"/>
        <v>515.5</v>
      </c>
      <c r="C61" s="6">
        <f t="shared" si="25"/>
        <v>156</v>
      </c>
      <c r="D61" s="6">
        <f>19600/25</f>
        <v>784</v>
      </c>
      <c r="E61" s="6"/>
      <c r="F61" s="6">
        <f>6175/25</f>
        <v>247</v>
      </c>
      <c r="G61" s="6">
        <f>7800/25</f>
        <v>312</v>
      </c>
      <c r="H61" s="94">
        <f t="shared" si="26"/>
        <v>-0.68494897959183676</v>
      </c>
      <c r="I61" s="198"/>
      <c r="J61" s="6"/>
      <c r="L61" s="9"/>
      <c r="M61" s="9"/>
      <c r="N61" s="9"/>
      <c r="O61" s="9"/>
    </row>
    <row r="62" spans="1:25" x14ac:dyDescent="0.25">
      <c r="A62" s="1" t="s">
        <v>109</v>
      </c>
      <c r="B62" s="6">
        <f t="shared" si="24"/>
        <v>27</v>
      </c>
      <c r="C62" s="6">
        <f t="shared" si="25"/>
        <v>5</v>
      </c>
      <c r="D62" s="6">
        <f>220/5</f>
        <v>44</v>
      </c>
      <c r="E62" s="6"/>
      <c r="F62" s="6">
        <f>50/5</f>
        <v>10</v>
      </c>
      <c r="G62" s="6">
        <f>50/5</f>
        <v>10</v>
      </c>
      <c r="H62" s="94">
        <f t="shared" si="26"/>
        <v>-0.77272727272727271</v>
      </c>
      <c r="I62" s="198"/>
      <c r="J62" s="6"/>
      <c r="L62" s="9"/>
      <c r="M62" s="9"/>
      <c r="N62" s="9"/>
      <c r="O62" s="9"/>
    </row>
    <row r="63" spans="1:25" x14ac:dyDescent="0.25">
      <c r="A63" s="95" t="s">
        <v>6</v>
      </c>
      <c r="B63" s="6"/>
      <c r="C63" s="6"/>
      <c r="D63" s="6"/>
      <c r="E63" s="6"/>
      <c r="F63" s="6"/>
      <c r="G63" s="6"/>
      <c r="H63" s="94"/>
      <c r="I63" s="198"/>
      <c r="J63" s="6"/>
      <c r="L63" s="9"/>
      <c r="M63" s="9"/>
      <c r="N63" s="9"/>
      <c r="O63" s="9"/>
    </row>
    <row r="64" spans="1:25" x14ac:dyDescent="0.25">
      <c r="A64" s="1" t="s">
        <v>7</v>
      </c>
      <c r="B64" s="6">
        <f t="shared" si="24"/>
        <v>86.5</v>
      </c>
      <c r="C64" s="6">
        <f t="shared" si="25"/>
        <v>222</v>
      </c>
      <c r="D64" s="6">
        <v>77</v>
      </c>
      <c r="E64" s="6">
        <v>161</v>
      </c>
      <c r="F64" s="6">
        <v>96</v>
      </c>
      <c r="G64" s="6">
        <v>283</v>
      </c>
      <c r="H64" s="94">
        <f t="shared" si="26"/>
        <v>0.24675324675324675</v>
      </c>
      <c r="I64" s="198">
        <f>(G64-E64)/E64</f>
        <v>0.75776397515527949</v>
      </c>
      <c r="L64" s="9"/>
      <c r="M64" s="9"/>
      <c r="N64" s="9"/>
      <c r="O64" s="9"/>
    </row>
    <row r="65" spans="1:17" ht="18" hidden="1" x14ac:dyDescent="0.25">
      <c r="A65" s="75" t="s">
        <v>42</v>
      </c>
      <c r="B65" s="6">
        <f t="shared" si="24"/>
        <v>0</v>
      </c>
      <c r="C65" s="6">
        <f t="shared" si="25"/>
        <v>0</v>
      </c>
      <c r="D65" s="76"/>
      <c r="E65" s="76"/>
      <c r="F65" s="6"/>
      <c r="G65" s="6"/>
      <c r="H65" s="94" t="e">
        <f t="shared" si="26"/>
        <v>#DIV/0!</v>
      </c>
      <c r="I65" s="198" t="e">
        <f t="shared" ref="I65:I68" si="28">(G65-E65)/E65</f>
        <v>#DIV/0!</v>
      </c>
      <c r="L65" s="9"/>
      <c r="M65" s="9"/>
      <c r="N65" s="9"/>
      <c r="O65" s="18"/>
    </row>
    <row r="66" spans="1:17" hidden="1" x14ac:dyDescent="0.25">
      <c r="A66" s="74" t="s">
        <v>300</v>
      </c>
      <c r="B66" s="6">
        <f t="shared" si="24"/>
        <v>0</v>
      </c>
      <c r="C66" s="6">
        <f t="shared" si="25"/>
        <v>0</v>
      </c>
      <c r="D66" s="76"/>
      <c r="E66" s="76"/>
      <c r="F66" s="6"/>
      <c r="G66" s="6"/>
      <c r="H66" s="94" t="e">
        <f t="shared" si="26"/>
        <v>#DIV/0!</v>
      </c>
      <c r="I66" s="198" t="e">
        <f t="shared" si="28"/>
        <v>#DIV/0!</v>
      </c>
      <c r="L66" s="9"/>
      <c r="M66" s="9"/>
      <c r="N66" s="9"/>
      <c r="O66" s="20"/>
      <c r="P66" s="9"/>
      <c r="Q66" s="19"/>
    </row>
    <row r="67" spans="1:17" x14ac:dyDescent="0.25">
      <c r="A67" s="1" t="s">
        <v>43</v>
      </c>
      <c r="B67" s="6">
        <f t="shared" si="24"/>
        <v>15146.5</v>
      </c>
      <c r="C67" s="6">
        <f t="shared" si="25"/>
        <v>13966</v>
      </c>
      <c r="D67" s="6">
        <v>15917</v>
      </c>
      <c r="E67" s="6">
        <v>13888</v>
      </c>
      <c r="F67" s="6">
        <v>14376</v>
      </c>
      <c r="G67" s="6">
        <v>14044</v>
      </c>
      <c r="H67" s="94">
        <f t="shared" si="26"/>
        <v>-9.6814726393164546E-2</v>
      </c>
      <c r="I67" s="198">
        <f t="shared" si="28"/>
        <v>1.1232718894009217E-2</v>
      </c>
      <c r="L67" s="9"/>
      <c r="M67" s="9"/>
      <c r="N67" s="9"/>
      <c r="O67" s="9"/>
      <c r="P67" s="9"/>
      <c r="Q67" s="19"/>
    </row>
    <row r="68" spans="1:17" x14ac:dyDescent="0.25">
      <c r="A68" s="1" t="s">
        <v>59</v>
      </c>
      <c r="B68" s="6">
        <f t="shared" si="24"/>
        <v>7865.5</v>
      </c>
      <c r="C68" s="6">
        <f t="shared" si="25"/>
        <v>7860</v>
      </c>
      <c r="D68" s="6">
        <v>6542</v>
      </c>
      <c r="E68" s="6">
        <v>6131</v>
      </c>
      <c r="F68" s="6">
        <v>9189</v>
      </c>
      <c r="G68" s="6">
        <v>9589</v>
      </c>
      <c r="H68" s="94">
        <f t="shared" si="26"/>
        <v>0.40461632528278813</v>
      </c>
      <c r="I68" s="198">
        <f t="shared" si="28"/>
        <v>0.56401892024139622</v>
      </c>
      <c r="L68" s="9"/>
      <c r="M68" s="9"/>
      <c r="N68" s="9"/>
      <c r="O68" s="9"/>
      <c r="P68" s="9"/>
      <c r="Q68" s="19"/>
    </row>
    <row r="69" spans="1:17" ht="15.75" customHeight="1" x14ac:dyDescent="0.25">
      <c r="A69" s="95" t="s">
        <v>45</v>
      </c>
      <c r="B69" s="6"/>
      <c r="C69" s="6"/>
      <c r="D69" s="6"/>
      <c r="E69" s="6"/>
      <c r="F69" s="6"/>
      <c r="G69" s="6"/>
      <c r="H69" s="94"/>
      <c r="I69" s="198"/>
      <c r="L69" s="9"/>
      <c r="M69" s="9"/>
      <c r="N69" s="9"/>
      <c r="O69" s="9"/>
      <c r="P69" s="9"/>
      <c r="Q69" s="19"/>
    </row>
    <row r="70" spans="1:17" hidden="1" x14ac:dyDescent="0.25">
      <c r="A70" s="74" t="s">
        <v>46</v>
      </c>
      <c r="B70" s="6">
        <f t="shared" si="24"/>
        <v>443.3</v>
      </c>
      <c r="C70" s="6">
        <f t="shared" si="25"/>
        <v>317.85000000000002</v>
      </c>
      <c r="D70" s="76">
        <v>886.6</v>
      </c>
      <c r="E70" s="76">
        <v>635.70000000000005</v>
      </c>
      <c r="F70" s="6"/>
      <c r="G70" s="6"/>
      <c r="H70" s="94">
        <f t="shared" si="26"/>
        <v>-1</v>
      </c>
      <c r="I70" s="198" t="e">
        <f t="shared" ref="I70:I76" si="29">(G70-E70)/G70</f>
        <v>#DIV/0!</v>
      </c>
      <c r="L70" s="9"/>
      <c r="M70" s="9"/>
      <c r="N70" s="9"/>
      <c r="O70" s="9"/>
      <c r="P70" s="9"/>
      <c r="Q70" s="19"/>
    </row>
    <row r="71" spans="1:17" hidden="1" x14ac:dyDescent="0.25">
      <c r="A71" s="74" t="s">
        <v>71</v>
      </c>
      <c r="B71" s="6">
        <f t="shared" si="24"/>
        <v>0</v>
      </c>
      <c r="C71" s="6">
        <f t="shared" si="25"/>
        <v>0</v>
      </c>
      <c r="D71" s="76"/>
      <c r="E71" s="76"/>
      <c r="F71" s="6"/>
      <c r="G71" s="6"/>
      <c r="H71" s="94" t="e">
        <f t="shared" si="26"/>
        <v>#DIV/0!</v>
      </c>
      <c r="I71" s="198" t="e">
        <f t="shared" si="29"/>
        <v>#DIV/0!</v>
      </c>
      <c r="L71" s="9"/>
      <c r="M71" s="9"/>
      <c r="N71" s="9"/>
      <c r="O71" s="9"/>
      <c r="P71" s="9"/>
      <c r="Q71" s="19"/>
    </row>
    <row r="72" spans="1:17" x14ac:dyDescent="0.25">
      <c r="A72" s="1" t="s">
        <v>47</v>
      </c>
      <c r="B72" s="6">
        <f t="shared" si="24"/>
        <v>540</v>
      </c>
      <c r="C72" s="6">
        <f t="shared" si="25"/>
        <v>77.5</v>
      </c>
      <c r="D72" s="6">
        <f>19720/20</f>
        <v>986</v>
      </c>
      <c r="E72" s="6"/>
      <c r="F72" s="6">
        <f>1880/20</f>
        <v>94</v>
      </c>
      <c r="G72" s="6">
        <f>3100/20</f>
        <v>155</v>
      </c>
      <c r="H72" s="94">
        <f t="shared" si="26"/>
        <v>-0.90466531440162268</v>
      </c>
      <c r="I72" s="198"/>
      <c r="L72" s="9"/>
      <c r="M72" s="9"/>
      <c r="N72" s="9"/>
      <c r="O72" s="9"/>
      <c r="P72" s="9"/>
      <c r="Q72" s="19"/>
    </row>
    <row r="73" spans="1:17" x14ac:dyDescent="0.25">
      <c r="A73" s="1" t="s">
        <v>61</v>
      </c>
      <c r="B73" s="6">
        <f t="shared" si="24"/>
        <v>771</v>
      </c>
      <c r="C73" s="6">
        <f t="shared" si="25"/>
        <v>90</v>
      </c>
      <c r="D73" s="6">
        <f>29180/20</f>
        <v>1459</v>
      </c>
      <c r="E73" s="6"/>
      <c r="F73" s="6">
        <f>(5260-3600)/20</f>
        <v>83</v>
      </c>
      <c r="G73" s="6">
        <f>3600/20</f>
        <v>180</v>
      </c>
      <c r="H73" s="94">
        <f t="shared" si="26"/>
        <v>-0.94311172035640845</v>
      </c>
      <c r="I73" s="198"/>
      <c r="L73" s="9"/>
      <c r="M73" s="9"/>
      <c r="N73" s="9"/>
      <c r="O73" s="9"/>
      <c r="P73" s="9"/>
      <c r="Q73" s="19"/>
    </row>
    <row r="74" spans="1:17" x14ac:dyDescent="0.25">
      <c r="A74" s="1" t="s">
        <v>301</v>
      </c>
      <c r="B74" s="6">
        <f t="shared" si="24"/>
        <v>16.5</v>
      </c>
      <c r="C74" s="6">
        <f t="shared" si="25"/>
        <v>3</v>
      </c>
      <c r="D74" s="6">
        <f>580/20</f>
        <v>29</v>
      </c>
      <c r="E74" s="6"/>
      <c r="F74" s="6">
        <f>80/20</f>
        <v>4</v>
      </c>
      <c r="G74" s="6">
        <f>120/20</f>
        <v>6</v>
      </c>
      <c r="H74" s="94">
        <f t="shared" si="26"/>
        <v>-0.86206896551724133</v>
      </c>
      <c r="I74" s="198"/>
      <c r="L74" s="9"/>
      <c r="M74" s="9"/>
      <c r="N74" s="9"/>
      <c r="O74" s="9"/>
      <c r="P74" s="9"/>
      <c r="Q74" s="19"/>
    </row>
    <row r="75" spans="1:17" ht="0.75" customHeight="1" x14ac:dyDescent="0.25">
      <c r="A75" s="95" t="s">
        <v>12</v>
      </c>
      <c r="B75" s="6">
        <f t="shared" si="24"/>
        <v>0</v>
      </c>
      <c r="C75" s="6">
        <f t="shared" si="25"/>
        <v>0</v>
      </c>
      <c r="D75" s="6"/>
      <c r="E75" s="6"/>
      <c r="F75" s="6"/>
      <c r="G75" s="6"/>
      <c r="H75" s="94" t="e">
        <f t="shared" si="26"/>
        <v>#DIV/0!</v>
      </c>
      <c r="I75" s="198" t="e">
        <f t="shared" si="29"/>
        <v>#DIV/0!</v>
      </c>
      <c r="L75" s="9"/>
      <c r="M75" s="9"/>
      <c r="N75" s="9"/>
      <c r="O75" s="9"/>
      <c r="P75" s="9"/>
      <c r="Q75" s="19"/>
    </row>
    <row r="76" spans="1:17" hidden="1" x14ac:dyDescent="0.25">
      <c r="A76" s="96" t="s">
        <v>60</v>
      </c>
      <c r="B76" s="6">
        <f t="shared" si="24"/>
        <v>0</v>
      </c>
      <c r="C76" s="6">
        <f t="shared" si="25"/>
        <v>0</v>
      </c>
      <c r="D76" s="76">
        <v>0</v>
      </c>
      <c r="E76" s="76">
        <v>0</v>
      </c>
      <c r="F76" s="6"/>
      <c r="G76" s="6"/>
      <c r="H76" s="94" t="e">
        <f t="shared" si="26"/>
        <v>#DIV/0!</v>
      </c>
      <c r="I76" s="198" t="e">
        <f t="shared" si="29"/>
        <v>#DIV/0!</v>
      </c>
      <c r="L76" s="9"/>
      <c r="M76" s="9"/>
      <c r="N76" s="9"/>
      <c r="O76" s="9"/>
      <c r="P76" s="9"/>
      <c r="Q76" s="19"/>
    </row>
    <row r="77" spans="1:17" x14ac:dyDescent="0.25">
      <c r="A77" s="95" t="s">
        <v>17</v>
      </c>
      <c r="B77" s="6"/>
      <c r="C77" s="6"/>
      <c r="D77" s="6"/>
      <c r="E77" s="6"/>
      <c r="F77" s="6"/>
      <c r="G77" s="6"/>
      <c r="H77" s="94"/>
      <c r="I77" s="198"/>
      <c r="L77" s="9"/>
      <c r="M77" s="9"/>
      <c r="N77" s="9"/>
      <c r="O77" s="9"/>
      <c r="P77" s="9"/>
      <c r="Q77" s="19"/>
    </row>
    <row r="78" spans="1:17" x14ac:dyDescent="0.25">
      <c r="A78" s="1" t="s">
        <v>48</v>
      </c>
      <c r="B78" s="6">
        <f t="shared" si="24"/>
        <v>655.5</v>
      </c>
      <c r="C78" s="6">
        <f t="shared" si="25"/>
        <v>545</v>
      </c>
      <c r="D78" s="1">
        <v>684</v>
      </c>
      <c r="E78" s="1">
        <v>480</v>
      </c>
      <c r="F78" s="6">
        <v>627</v>
      </c>
      <c r="G78" s="6">
        <v>610</v>
      </c>
      <c r="H78" s="94">
        <f t="shared" si="26"/>
        <v>-8.3333333333333329E-2</v>
      </c>
      <c r="I78" s="198">
        <f>(G78-E78)/E78</f>
        <v>0.27083333333333331</v>
      </c>
      <c r="L78" s="9"/>
      <c r="M78" s="9"/>
      <c r="N78" s="9"/>
      <c r="O78" s="9"/>
      <c r="P78" s="9"/>
      <c r="Q78" s="19"/>
    </row>
    <row r="79" spans="1:17" x14ac:dyDescent="0.25">
      <c r="A79" s="1" t="s">
        <v>49</v>
      </c>
      <c r="B79" s="6">
        <f t="shared" si="24"/>
        <v>618.5</v>
      </c>
      <c r="C79" s="6">
        <f t="shared" si="25"/>
        <v>646</v>
      </c>
      <c r="D79" s="1">
        <v>702</v>
      </c>
      <c r="E79" s="1">
        <v>651</v>
      </c>
      <c r="F79" s="6">
        <v>535</v>
      </c>
      <c r="G79" s="6">
        <v>641</v>
      </c>
      <c r="H79" s="94">
        <f t="shared" si="26"/>
        <v>-0.2378917378917379</v>
      </c>
      <c r="I79" s="198">
        <f t="shared" ref="I79:I85" si="30">(G79-E79)/E79</f>
        <v>-1.5360983102918587E-2</v>
      </c>
      <c r="L79" s="9"/>
      <c r="M79" s="9"/>
      <c r="N79" s="9"/>
      <c r="O79" s="9"/>
      <c r="P79" s="9"/>
      <c r="Q79" s="19"/>
    </row>
    <row r="80" spans="1:17" x14ac:dyDescent="0.25">
      <c r="A80" s="1" t="s">
        <v>50</v>
      </c>
      <c r="B80" s="6">
        <f t="shared" si="24"/>
        <v>158</v>
      </c>
      <c r="C80" s="6">
        <f t="shared" si="25"/>
        <v>193.5</v>
      </c>
      <c r="D80" s="1">
        <v>183</v>
      </c>
      <c r="E80" s="1">
        <v>184</v>
      </c>
      <c r="F80" s="6">
        <v>133</v>
      </c>
      <c r="G80" s="6">
        <v>203</v>
      </c>
      <c r="H80" s="94">
        <f t="shared" si="26"/>
        <v>-0.27322404371584702</v>
      </c>
      <c r="I80" s="198">
        <f t="shared" si="30"/>
        <v>0.10326086956521739</v>
      </c>
      <c r="L80" s="9"/>
      <c r="M80" s="9"/>
      <c r="N80" s="9"/>
      <c r="O80" s="9"/>
      <c r="P80" s="9"/>
      <c r="Q80" s="19"/>
    </row>
    <row r="81" spans="1:33" x14ac:dyDescent="0.25">
      <c r="A81" s="1" t="s">
        <v>51</v>
      </c>
      <c r="B81" s="6">
        <f t="shared" si="24"/>
        <v>63.5</v>
      </c>
      <c r="C81" s="6">
        <f t="shared" si="25"/>
        <v>78</v>
      </c>
      <c r="D81" s="1">
        <v>74</v>
      </c>
      <c r="E81" s="1">
        <v>78</v>
      </c>
      <c r="F81" s="6">
        <v>53</v>
      </c>
      <c r="G81" s="6">
        <v>78</v>
      </c>
      <c r="H81" s="94">
        <f t="shared" si="26"/>
        <v>-0.28378378378378377</v>
      </c>
      <c r="I81" s="198">
        <f t="shared" si="30"/>
        <v>0</v>
      </c>
      <c r="L81" s="9"/>
      <c r="M81" s="9"/>
      <c r="N81" s="9"/>
      <c r="O81" s="9"/>
      <c r="P81" s="9"/>
      <c r="Q81" s="19"/>
    </row>
    <row r="82" spans="1:33" x14ac:dyDescent="0.25">
      <c r="A82" s="1" t="s">
        <v>121</v>
      </c>
      <c r="B82" s="6">
        <f t="shared" si="24"/>
        <v>97.5</v>
      </c>
      <c r="C82" s="6">
        <f t="shared" si="25"/>
        <v>255</v>
      </c>
      <c r="D82" s="6">
        <f>250/5</f>
        <v>50</v>
      </c>
      <c r="E82" s="6">
        <f>975/5</f>
        <v>195</v>
      </c>
      <c r="F82" s="6">
        <v>145</v>
      </c>
      <c r="G82" s="6">
        <v>315</v>
      </c>
      <c r="H82" s="94">
        <f t="shared" si="26"/>
        <v>1.9</v>
      </c>
      <c r="I82" s="198">
        <f t="shared" si="30"/>
        <v>0.61538461538461542</v>
      </c>
      <c r="L82" s="9"/>
      <c r="M82" s="9"/>
      <c r="N82" s="9"/>
      <c r="O82" s="9"/>
      <c r="P82" s="9"/>
      <c r="Q82" s="19"/>
    </row>
    <row r="83" spans="1:33" x14ac:dyDescent="0.25">
      <c r="A83" s="1" t="s">
        <v>122</v>
      </c>
      <c r="B83" s="6">
        <f t="shared" si="24"/>
        <v>63.5</v>
      </c>
      <c r="C83" s="6">
        <f t="shared" si="25"/>
        <v>66</v>
      </c>
      <c r="D83" s="6">
        <f>210/5</f>
        <v>42</v>
      </c>
      <c r="E83" s="6">
        <f>260/5</f>
        <v>52</v>
      </c>
      <c r="F83" s="6">
        <v>85</v>
      </c>
      <c r="G83" s="6">
        <v>80</v>
      </c>
      <c r="H83" s="94">
        <f t="shared" si="26"/>
        <v>1.0238095238095237</v>
      </c>
      <c r="I83" s="198">
        <f t="shared" si="30"/>
        <v>0.53846153846153844</v>
      </c>
      <c r="N83" s="9"/>
      <c r="O83" s="15"/>
      <c r="P83" s="9"/>
      <c r="Q83" s="19"/>
    </row>
    <row r="84" spans="1:33" x14ac:dyDescent="0.25">
      <c r="A84" s="1" t="s">
        <v>123</v>
      </c>
      <c r="B84" s="6">
        <f t="shared" si="24"/>
        <v>12.5</v>
      </c>
      <c r="C84" s="6">
        <f t="shared" si="25"/>
        <v>17</v>
      </c>
      <c r="D84" s="6">
        <f>25/5</f>
        <v>5</v>
      </c>
      <c r="E84" s="6">
        <f>45/5</f>
        <v>9</v>
      </c>
      <c r="F84" s="6">
        <v>20</v>
      </c>
      <c r="G84" s="6">
        <v>25</v>
      </c>
      <c r="H84" s="94">
        <f t="shared" si="26"/>
        <v>3</v>
      </c>
      <c r="I84" s="198">
        <f t="shared" si="30"/>
        <v>1.7777777777777777</v>
      </c>
      <c r="N84" s="9"/>
      <c r="O84" s="15"/>
      <c r="P84" s="9"/>
      <c r="Q84" s="19"/>
    </row>
    <row r="85" spans="1:33" x14ac:dyDescent="0.25">
      <c r="A85" s="1" t="s">
        <v>124</v>
      </c>
      <c r="B85" s="6">
        <f t="shared" si="24"/>
        <v>7.5</v>
      </c>
      <c r="C85" s="6">
        <f t="shared" si="25"/>
        <v>4.5</v>
      </c>
      <c r="D85" s="6"/>
      <c r="E85" s="6">
        <f>20/5</f>
        <v>4</v>
      </c>
      <c r="F85" s="6">
        <v>15</v>
      </c>
      <c r="G85" s="6">
        <v>5</v>
      </c>
      <c r="H85" s="94"/>
      <c r="I85" s="198">
        <f t="shared" si="30"/>
        <v>0.25</v>
      </c>
      <c r="Y85" s="23"/>
    </row>
    <row r="86" spans="1:33" ht="16.5" thickBot="1" x14ac:dyDescent="0.3">
      <c r="B86"/>
      <c r="C86"/>
      <c r="D86"/>
      <c r="E86"/>
      <c r="F86"/>
      <c r="G86"/>
      <c r="H86"/>
      <c r="I86" s="199"/>
      <c r="J86"/>
      <c r="K86"/>
      <c r="L86"/>
      <c r="M86"/>
      <c r="N86"/>
      <c r="O86"/>
      <c r="P86"/>
      <c r="Q86"/>
      <c r="R86"/>
      <c r="S86"/>
      <c r="T86" s="25"/>
    </row>
    <row r="87" spans="1:33" ht="18.75" thickBot="1" x14ac:dyDescent="0.3">
      <c r="A87" s="8" t="s">
        <v>62</v>
      </c>
      <c r="B87" s="529" t="s">
        <v>255</v>
      </c>
      <c r="C87" s="530"/>
      <c r="D87" s="530"/>
      <c r="E87" s="530"/>
      <c r="F87" s="530"/>
      <c r="G87" s="531"/>
      <c r="H87" s="529" t="s">
        <v>145</v>
      </c>
      <c r="I87" s="530"/>
      <c r="J87" s="530"/>
      <c r="K87" s="530"/>
      <c r="L87" s="530"/>
      <c r="M87" s="531"/>
      <c r="N87"/>
      <c r="O87"/>
      <c r="P87"/>
      <c r="Q87"/>
      <c r="R87"/>
      <c r="S87"/>
      <c r="U87"/>
      <c r="V87" s="4" t="s">
        <v>65</v>
      </c>
      <c r="W87" s="4"/>
      <c r="X87" s="4"/>
      <c r="Y87" s="1"/>
      <c r="Z87" s="513"/>
      <c r="AA87" s="513"/>
      <c r="AB87" s="513"/>
      <c r="AC87" s="513"/>
      <c r="AD87" s="513"/>
      <c r="AE87" s="513"/>
      <c r="AF87" s="513"/>
      <c r="AG87" s="513"/>
    </row>
    <row r="88" spans="1:33" ht="18.75" thickBot="1" x14ac:dyDescent="0.3">
      <c r="A88" s="8"/>
      <c r="B88" s="532" t="s">
        <v>63</v>
      </c>
      <c r="C88" s="533"/>
      <c r="D88" s="529" t="s">
        <v>38</v>
      </c>
      <c r="E88" s="530"/>
      <c r="F88" s="534" t="s">
        <v>64</v>
      </c>
      <c r="G88" s="533"/>
      <c r="H88" s="532" t="s">
        <v>63</v>
      </c>
      <c r="I88" s="533"/>
      <c r="J88" s="529" t="s">
        <v>38</v>
      </c>
      <c r="K88" s="530"/>
      <c r="L88" s="534" t="s">
        <v>64</v>
      </c>
      <c r="M88" s="533"/>
      <c r="N88"/>
      <c r="O88"/>
      <c r="P88"/>
      <c r="Q88"/>
      <c r="R88"/>
      <c r="S88"/>
      <c r="U88" s="434"/>
      <c r="V88" s="4" t="s">
        <v>57</v>
      </c>
      <c r="W88" s="4"/>
      <c r="X88" s="4"/>
      <c r="Z88"/>
      <c r="AA88"/>
      <c r="AB88"/>
    </row>
    <row r="89" spans="1:33" ht="17.25" thickTop="1" thickBot="1" x14ac:dyDescent="0.3">
      <c r="A89" s="4" t="s">
        <v>0</v>
      </c>
      <c r="B89" s="27" t="s">
        <v>35</v>
      </c>
      <c r="C89" s="26" t="s">
        <v>34</v>
      </c>
      <c r="D89" s="27" t="s">
        <v>35</v>
      </c>
      <c r="E89" s="26" t="s">
        <v>34</v>
      </c>
      <c r="F89" s="27" t="s">
        <v>35</v>
      </c>
      <c r="G89" s="28" t="s">
        <v>34</v>
      </c>
      <c r="H89" s="27" t="s">
        <v>35</v>
      </c>
      <c r="I89" s="26" t="s">
        <v>34</v>
      </c>
      <c r="J89" s="27" t="s">
        <v>35</v>
      </c>
      <c r="K89" s="26" t="s">
        <v>34</v>
      </c>
      <c r="L89" s="27" t="s">
        <v>35</v>
      </c>
      <c r="M89" s="28" t="s">
        <v>34</v>
      </c>
      <c r="N89"/>
      <c r="O89"/>
      <c r="P89"/>
      <c r="Q89"/>
      <c r="R89"/>
      <c r="S89"/>
      <c r="U89" s="4" t="s">
        <v>79</v>
      </c>
      <c r="V89" s="44" t="s">
        <v>35</v>
      </c>
      <c r="W89" s="45" t="s">
        <v>34</v>
      </c>
      <c r="X89" s="46" t="s">
        <v>56</v>
      </c>
      <c r="Z89"/>
      <c r="AA89"/>
      <c r="AB89"/>
    </row>
    <row r="90" spans="1:33" ht="16.5" thickBot="1" x14ac:dyDescent="0.3">
      <c r="A90" s="2" t="s">
        <v>1</v>
      </c>
      <c r="B90" s="29">
        <f>F90-D90</f>
        <v>5.75</v>
      </c>
      <c r="C90" s="29">
        <f>G90-E90</f>
        <v>7.5</v>
      </c>
      <c r="D90" s="3">
        <v>1</v>
      </c>
      <c r="E90" s="3">
        <v>1</v>
      </c>
      <c r="F90" s="3">
        <v>6.75</v>
      </c>
      <c r="G90" s="3">
        <v>8.5</v>
      </c>
      <c r="H90" s="29">
        <f>MROUND(B90*(1+$B$7),0.25)</f>
        <v>6.5</v>
      </c>
      <c r="I90" s="29">
        <f>MROUND(C90*(1+$B$7),0.25)</f>
        <v>8.5</v>
      </c>
      <c r="J90" s="3">
        <v>1</v>
      </c>
      <c r="K90" s="3">
        <v>1</v>
      </c>
      <c r="L90" s="3">
        <f>H90+J90</f>
        <v>7.5</v>
      </c>
      <c r="M90" s="3">
        <f>I90+K90</f>
        <v>9.5</v>
      </c>
      <c r="N90"/>
      <c r="O90"/>
      <c r="P90"/>
      <c r="Q90"/>
      <c r="R90"/>
      <c r="S90"/>
      <c r="U90" s="120" t="s">
        <v>1</v>
      </c>
      <c r="V90" s="437">
        <f>B55*H90</f>
        <v>101422.75</v>
      </c>
      <c r="W90" s="437">
        <f>C55*I90</f>
        <v>144321.5</v>
      </c>
      <c r="X90" s="438">
        <f>SUM(V90:W90)</f>
        <v>245744.25</v>
      </c>
      <c r="Y90" s="31"/>
      <c r="Z90"/>
      <c r="AA90"/>
      <c r="AB90"/>
    </row>
    <row r="91" spans="1:33" ht="16.5" thickBot="1" x14ac:dyDescent="0.3">
      <c r="A91" s="2" t="s">
        <v>110</v>
      </c>
      <c r="B91" s="29">
        <f>F91-D91</f>
        <v>4</v>
      </c>
      <c r="C91" s="29">
        <f>G91-E91</f>
        <v>4.5</v>
      </c>
      <c r="D91" s="3">
        <v>0.5</v>
      </c>
      <c r="E91" s="3">
        <v>0.5</v>
      </c>
      <c r="F91" s="3">
        <v>4.5</v>
      </c>
      <c r="G91" s="3">
        <v>5</v>
      </c>
      <c r="H91" s="29">
        <f>MROUND(B91*(1+$B$7),0.25)</f>
        <v>4.5</v>
      </c>
      <c r="I91" s="29">
        <f>MROUND(C91*(1+$B$7),0.25)</f>
        <v>5.25</v>
      </c>
      <c r="J91" s="3">
        <v>0.5</v>
      </c>
      <c r="K91" s="3">
        <v>0.5</v>
      </c>
      <c r="L91" s="3">
        <f>H91+J91</f>
        <v>5</v>
      </c>
      <c r="M91" s="3">
        <f>I91+K91</f>
        <v>5.75</v>
      </c>
      <c r="N91"/>
      <c r="O91"/>
      <c r="P91"/>
      <c r="Q91"/>
      <c r="R91"/>
      <c r="S91"/>
      <c r="U91" s="24" t="s">
        <v>2</v>
      </c>
      <c r="V91" s="437">
        <f>B56*H91</f>
        <v>36378</v>
      </c>
      <c r="W91" s="437">
        <f>C56*I91</f>
        <v>41811</v>
      </c>
      <c r="X91" s="439">
        <f>SUM(V91:W91)</f>
        <v>78189</v>
      </c>
      <c r="Y91" s="31"/>
      <c r="Z91"/>
      <c r="AA91"/>
      <c r="AB91"/>
    </row>
    <row r="92" spans="1:33" ht="16.5" thickBot="1" x14ac:dyDescent="0.3">
      <c r="A92" s="2" t="s">
        <v>3</v>
      </c>
      <c r="B92" s="24"/>
      <c r="H92" s="24"/>
      <c r="N92"/>
      <c r="O92"/>
      <c r="P92"/>
      <c r="Q92"/>
      <c r="R92"/>
      <c r="S92"/>
      <c r="U92" s="24" t="s">
        <v>67</v>
      </c>
      <c r="V92" s="437">
        <f>B57*H93</f>
        <v>4109.75</v>
      </c>
      <c r="W92" s="437">
        <f>C57*I93</f>
        <v>14217.5</v>
      </c>
      <c r="X92" s="439">
        <f>SUM(V92:W92)</f>
        <v>18327.25</v>
      </c>
      <c r="Z92"/>
      <c r="AA92"/>
      <c r="AB92"/>
    </row>
    <row r="93" spans="1:33" ht="16.5" thickBot="1" x14ac:dyDescent="0.3">
      <c r="A93" s="2" t="s">
        <v>67</v>
      </c>
      <c r="B93" s="29">
        <f>F93-D93</f>
        <v>7.5</v>
      </c>
      <c r="C93" s="29">
        <f>G93-E93</f>
        <v>9.75</v>
      </c>
      <c r="D93" s="3">
        <v>1</v>
      </c>
      <c r="E93" s="3">
        <v>1</v>
      </c>
      <c r="F93" s="3">
        <v>8.5</v>
      </c>
      <c r="G93" s="3">
        <v>10.75</v>
      </c>
      <c r="H93" s="29">
        <f>MROUND(B93*(1+$B$7),0.25)</f>
        <v>8.5</v>
      </c>
      <c r="I93" s="29">
        <f>MROUND(C93*(1+$B$7),0.25)</f>
        <v>11</v>
      </c>
      <c r="J93" s="3">
        <v>1</v>
      </c>
      <c r="K93" s="3">
        <v>1</v>
      </c>
      <c r="L93" s="3">
        <f>H93+J93</f>
        <v>9.5</v>
      </c>
      <c r="M93" s="3">
        <f>I93+K93</f>
        <v>12</v>
      </c>
      <c r="N93"/>
      <c r="O93"/>
      <c r="P93"/>
      <c r="Q93"/>
      <c r="R93"/>
      <c r="S93"/>
      <c r="U93" s="24" t="s">
        <v>111</v>
      </c>
      <c r="V93" s="437">
        <f>B58*H94</f>
        <v>2713.5</v>
      </c>
      <c r="W93" s="437">
        <f>C58*I94</f>
        <v>8780.75</v>
      </c>
      <c r="X93" s="439">
        <f>SUM(V93:W93)</f>
        <v>11494.25</v>
      </c>
      <c r="Z93"/>
      <c r="AA93"/>
      <c r="AB93"/>
    </row>
    <row r="94" spans="1:33" ht="16.5" thickBot="1" x14ac:dyDescent="0.3">
      <c r="A94" s="2" t="s">
        <v>111</v>
      </c>
      <c r="B94" s="29">
        <f>F94-D94</f>
        <v>6</v>
      </c>
      <c r="C94" s="29">
        <f>G94-E94</f>
        <v>6.75</v>
      </c>
      <c r="D94" s="3">
        <v>0.5</v>
      </c>
      <c r="E94" s="3">
        <v>0.5</v>
      </c>
      <c r="F94" s="3">
        <v>6.5</v>
      </c>
      <c r="G94" s="3">
        <v>7.25</v>
      </c>
      <c r="H94" s="29">
        <f>MROUND(B94*(1+$B$7),0.25)</f>
        <v>6.75</v>
      </c>
      <c r="I94" s="29">
        <f>MROUND(C94*(1+$B$7),0.25)</f>
        <v>7.75</v>
      </c>
      <c r="J94" s="3">
        <v>0.5</v>
      </c>
      <c r="K94" s="3">
        <v>0.5</v>
      </c>
      <c r="L94" s="3">
        <f>H94+J94</f>
        <v>7.25</v>
      </c>
      <c r="M94" s="3">
        <f>I94+K94</f>
        <v>8.25</v>
      </c>
      <c r="N94"/>
      <c r="O94"/>
      <c r="P94"/>
      <c r="Q94"/>
      <c r="R94"/>
      <c r="S94"/>
      <c r="U94" s="4" t="s">
        <v>58</v>
      </c>
      <c r="V94" s="437"/>
      <c r="W94" s="437">
        <f>C59*I94</f>
        <v>0</v>
      </c>
      <c r="X94" s="439"/>
      <c r="Z94"/>
      <c r="AA94"/>
      <c r="AB94"/>
    </row>
    <row r="95" spans="1:33" ht="16.5" thickBot="1" x14ac:dyDescent="0.3">
      <c r="A95" s="4" t="s">
        <v>58</v>
      </c>
      <c r="B95" s="24"/>
      <c r="H95" s="24"/>
      <c r="N95"/>
      <c r="O95"/>
      <c r="P95"/>
      <c r="Q95"/>
      <c r="R95"/>
      <c r="S95"/>
      <c r="U95" s="24" t="s">
        <v>4</v>
      </c>
      <c r="V95" s="437">
        <f>B60*H96</f>
        <v>90350</v>
      </c>
      <c r="W95" s="437">
        <f>C60*I96</f>
        <v>33893.75</v>
      </c>
      <c r="X95" s="439">
        <f>SUM(V95:W95)</f>
        <v>124243.75</v>
      </c>
      <c r="Z95"/>
      <c r="AA95"/>
      <c r="AB95"/>
    </row>
    <row r="96" spans="1:33" ht="16.5" thickBot="1" x14ac:dyDescent="0.3">
      <c r="A96" s="2" t="s">
        <v>4</v>
      </c>
      <c r="B96" s="29">
        <f>F96-D96</f>
        <v>143.75</v>
      </c>
      <c r="C96" s="3">
        <f>G96-E96</f>
        <v>187.5</v>
      </c>
      <c r="D96" s="3">
        <v>10</v>
      </c>
      <c r="E96" s="3">
        <v>10</v>
      </c>
      <c r="F96" s="3">
        <v>153.75</v>
      </c>
      <c r="G96" s="3">
        <v>197.5</v>
      </c>
      <c r="H96" s="3">
        <f>MROUND((25*H90),0.25)</f>
        <v>162.5</v>
      </c>
      <c r="I96" s="3">
        <f>MROUND((25*I90),0.25)</f>
        <v>212.5</v>
      </c>
      <c r="J96" s="3">
        <v>10</v>
      </c>
      <c r="K96" s="3">
        <v>10</v>
      </c>
      <c r="L96" s="3">
        <f>H96+J96</f>
        <v>172.5</v>
      </c>
      <c r="M96" s="3">
        <f>I96+K96</f>
        <v>222.5</v>
      </c>
      <c r="N96"/>
      <c r="O96"/>
      <c r="P96"/>
      <c r="Q96"/>
      <c r="R96"/>
      <c r="S96"/>
      <c r="U96" s="24" t="s">
        <v>5</v>
      </c>
      <c r="V96" s="437">
        <f>B61*H97</f>
        <v>57993.75</v>
      </c>
      <c r="W96" s="437">
        <f>C61*I97</f>
        <v>20475</v>
      </c>
      <c r="X96" s="439">
        <f>SUM(V96:W96)</f>
        <v>78468.75</v>
      </c>
      <c r="Z96"/>
      <c r="AA96"/>
      <c r="AB96"/>
    </row>
    <row r="97" spans="1:35" ht="16.5" thickBot="1" x14ac:dyDescent="0.3">
      <c r="A97" s="2" t="s">
        <v>86</v>
      </c>
      <c r="B97" s="29">
        <f>F97-D97</f>
        <v>100</v>
      </c>
      <c r="C97" s="29">
        <f>G97-E97</f>
        <v>112.5</v>
      </c>
      <c r="D97" s="3">
        <v>6</v>
      </c>
      <c r="E97" s="3">
        <v>6</v>
      </c>
      <c r="F97" s="3">
        <v>106</v>
      </c>
      <c r="G97" s="3">
        <v>118.5</v>
      </c>
      <c r="H97" s="3">
        <f>MROUND((25*H91),0.25)</f>
        <v>112.5</v>
      </c>
      <c r="I97" s="3">
        <f>MROUND((25*I91),0.25)</f>
        <v>131.25</v>
      </c>
      <c r="J97" s="3">
        <v>6</v>
      </c>
      <c r="K97" s="3">
        <v>6</v>
      </c>
      <c r="L97" s="3">
        <f>H97+J97</f>
        <v>118.5</v>
      </c>
      <c r="M97" s="3">
        <f>I97+K97</f>
        <v>137.25</v>
      </c>
      <c r="N97"/>
      <c r="O97"/>
      <c r="P97"/>
      <c r="Q97"/>
      <c r="R97"/>
      <c r="S97"/>
      <c r="U97" s="24" t="s">
        <v>150</v>
      </c>
      <c r="V97" s="437">
        <f>B62*H108</f>
        <v>2038.5</v>
      </c>
      <c r="W97" s="437">
        <f>C62*I108</f>
        <v>472.5</v>
      </c>
      <c r="X97" s="439">
        <f t="shared" ref="X97:X98" si="31">SUM(V97:W97)</f>
        <v>2511</v>
      </c>
      <c r="Z97"/>
      <c r="AA97"/>
      <c r="AB97"/>
    </row>
    <row r="98" spans="1:35" ht="16.5" hidden="1" thickBot="1" x14ac:dyDescent="0.3">
      <c r="A98" s="2" t="s">
        <v>41</v>
      </c>
      <c r="B98" s="24"/>
      <c r="H98" s="24"/>
      <c r="N98"/>
      <c r="O98"/>
      <c r="P98"/>
      <c r="Q98"/>
      <c r="R98"/>
      <c r="S98"/>
      <c r="U98" s="4" t="s">
        <v>6</v>
      </c>
      <c r="V98" s="437">
        <f>B63*H99</f>
        <v>0</v>
      </c>
      <c r="W98" s="437">
        <f>C63*I99</f>
        <v>0</v>
      </c>
      <c r="X98" s="439">
        <f t="shared" si="31"/>
        <v>0</v>
      </c>
      <c r="Z98"/>
      <c r="AA98"/>
      <c r="AB98"/>
    </row>
    <row r="99" spans="1:35" ht="16.5" thickBot="1" x14ac:dyDescent="0.3">
      <c r="A99" s="4" t="s">
        <v>6</v>
      </c>
      <c r="B99" s="24"/>
      <c r="H99" s="24"/>
      <c r="N99"/>
      <c r="O99"/>
      <c r="P99"/>
      <c r="Q99"/>
      <c r="R99"/>
      <c r="S99"/>
      <c r="U99" s="24" t="s">
        <v>7</v>
      </c>
      <c r="V99" s="437">
        <f>B64*H100</f>
        <v>1124.5</v>
      </c>
      <c r="W99" s="437">
        <f>C64*I100</f>
        <v>3940.5</v>
      </c>
      <c r="X99" s="439">
        <f>SUM(V99:W99)</f>
        <v>5065</v>
      </c>
      <c r="Z99"/>
      <c r="AA99"/>
      <c r="AB99"/>
    </row>
    <row r="100" spans="1:35" ht="16.5" thickBot="1" x14ac:dyDescent="0.3">
      <c r="A100" s="2" t="s">
        <v>7</v>
      </c>
      <c r="B100" s="29">
        <f t="shared" ref="B100:C102" si="32">F100-D100</f>
        <v>11.5</v>
      </c>
      <c r="C100" s="29">
        <f t="shared" si="32"/>
        <v>15.5</v>
      </c>
      <c r="D100" s="3">
        <v>1</v>
      </c>
      <c r="E100" s="3">
        <v>2</v>
      </c>
      <c r="F100" s="3">
        <v>12.5</v>
      </c>
      <c r="G100" s="3">
        <v>17.5</v>
      </c>
      <c r="H100" s="29">
        <f>MROUND(B100*(1+$B$7),0.25)</f>
        <v>13</v>
      </c>
      <c r="I100" s="29">
        <f>MROUND(C100*(1+$B$7),0.25)</f>
        <v>17.75</v>
      </c>
      <c r="J100" s="3">
        <v>1</v>
      </c>
      <c r="K100" s="3">
        <v>2</v>
      </c>
      <c r="L100" s="3">
        <f t="shared" ref="L100:M102" si="33">H100+J100</f>
        <v>14</v>
      </c>
      <c r="M100" s="3">
        <f t="shared" si="33"/>
        <v>19.75</v>
      </c>
      <c r="N100"/>
      <c r="O100"/>
      <c r="P100"/>
      <c r="Q100"/>
      <c r="R100"/>
      <c r="S100"/>
      <c r="U100" s="24" t="s">
        <v>43</v>
      </c>
      <c r="V100" s="437">
        <f>B67*H101</f>
        <v>337009.625</v>
      </c>
      <c r="W100" s="437">
        <f>C67*I101</f>
        <v>373590.5</v>
      </c>
      <c r="X100" s="439">
        <f>SUM(V100:W100)</f>
        <v>710600.125</v>
      </c>
      <c r="Z100"/>
      <c r="AA100"/>
      <c r="AB100"/>
      <c r="AF100"/>
      <c r="AG100"/>
      <c r="AH100"/>
      <c r="AI100"/>
    </row>
    <row r="101" spans="1:35" ht="16.5" thickBot="1" x14ac:dyDescent="0.3">
      <c r="A101" s="2" t="s">
        <v>43</v>
      </c>
      <c r="B101" s="29">
        <f t="shared" si="32"/>
        <v>19.5</v>
      </c>
      <c r="C101" s="29">
        <f t="shared" si="32"/>
        <v>23.5</v>
      </c>
      <c r="D101" s="3">
        <v>2</v>
      </c>
      <c r="E101" s="3">
        <v>3</v>
      </c>
      <c r="F101" s="3">
        <v>21.5</v>
      </c>
      <c r="G101" s="3">
        <v>26.5</v>
      </c>
      <c r="H101" s="29">
        <f t="shared" ref="H101:H102" si="34">MROUND(B101*(1+$B$7),0.25)</f>
        <v>22.25</v>
      </c>
      <c r="I101" s="29">
        <f t="shared" ref="I101:I102" si="35">MROUND(C101*(1+$B$7),0.25)</f>
        <v>26.75</v>
      </c>
      <c r="J101" s="3">
        <v>2</v>
      </c>
      <c r="K101" s="3">
        <v>3</v>
      </c>
      <c r="L101" s="3">
        <f t="shared" si="33"/>
        <v>24.25</v>
      </c>
      <c r="M101" s="3">
        <f t="shared" si="33"/>
        <v>29.75</v>
      </c>
      <c r="N101"/>
      <c r="O101"/>
      <c r="P101"/>
      <c r="Q101"/>
      <c r="R101"/>
      <c r="S101"/>
      <c r="U101" s="24" t="s">
        <v>59</v>
      </c>
      <c r="V101" s="437">
        <f>B68*H102</f>
        <v>139612.625</v>
      </c>
      <c r="W101" s="437">
        <f>C68*I102</f>
        <v>174885</v>
      </c>
      <c r="X101" s="439">
        <f>SUM(V101:W101)</f>
        <v>314497.625</v>
      </c>
      <c r="Z101"/>
      <c r="AA101"/>
      <c r="AB101"/>
      <c r="AF101"/>
      <c r="AG101"/>
      <c r="AH101"/>
      <c r="AI101"/>
    </row>
    <row r="102" spans="1:35" ht="16.5" thickBot="1" x14ac:dyDescent="0.3">
      <c r="A102" s="7" t="s">
        <v>59</v>
      </c>
      <c r="B102" s="29">
        <f t="shared" si="32"/>
        <v>15.5</v>
      </c>
      <c r="C102" s="29">
        <f t="shared" si="32"/>
        <v>19.5</v>
      </c>
      <c r="D102" s="3">
        <v>2</v>
      </c>
      <c r="E102" s="3">
        <v>2</v>
      </c>
      <c r="F102" s="3">
        <v>17.5</v>
      </c>
      <c r="G102" s="3">
        <v>21.5</v>
      </c>
      <c r="H102" s="29">
        <f t="shared" si="34"/>
        <v>17.75</v>
      </c>
      <c r="I102" s="29">
        <f t="shared" si="35"/>
        <v>22.25</v>
      </c>
      <c r="J102" s="3">
        <v>2</v>
      </c>
      <c r="K102" s="3">
        <v>2</v>
      </c>
      <c r="L102" s="3">
        <f t="shared" si="33"/>
        <v>19.75</v>
      </c>
      <c r="M102" s="3">
        <f t="shared" si="33"/>
        <v>24.25</v>
      </c>
      <c r="N102"/>
      <c r="O102"/>
      <c r="P102"/>
      <c r="Q102"/>
      <c r="R102"/>
      <c r="S102"/>
      <c r="U102" s="4" t="s">
        <v>45</v>
      </c>
      <c r="V102" s="437"/>
      <c r="W102" s="437"/>
      <c r="X102" s="439"/>
      <c r="Z102"/>
      <c r="AA102"/>
      <c r="AB102"/>
      <c r="AF102"/>
      <c r="AG102"/>
      <c r="AH102"/>
      <c r="AI102"/>
    </row>
    <row r="103" spans="1:35" ht="16.5" thickBot="1" x14ac:dyDescent="0.3">
      <c r="A103" s="4" t="s">
        <v>45</v>
      </c>
      <c r="B103" s="24"/>
      <c r="H103" s="24"/>
      <c r="N103"/>
      <c r="O103"/>
      <c r="P103"/>
      <c r="Q103"/>
      <c r="R103"/>
      <c r="S103"/>
      <c r="U103" s="24" t="s">
        <v>47</v>
      </c>
      <c r="V103" s="437">
        <f t="shared" ref="V103:W105" si="36">B72*H104</f>
        <v>240300</v>
      </c>
      <c r="W103" s="437">
        <f t="shared" si="36"/>
        <v>41462.5</v>
      </c>
      <c r="X103" s="439">
        <f>SUM(V103:W103)</f>
        <v>281762.5</v>
      </c>
      <c r="Z103"/>
      <c r="AA103"/>
      <c r="AB103"/>
      <c r="AF103"/>
      <c r="AG103"/>
      <c r="AH103"/>
      <c r="AI103"/>
    </row>
    <row r="104" spans="1:35" ht="16.5" thickBot="1" x14ac:dyDescent="0.3">
      <c r="A104" s="2" t="s">
        <v>47</v>
      </c>
      <c r="B104" s="29">
        <f>F104-D104</f>
        <v>390</v>
      </c>
      <c r="C104" s="29">
        <f>G104-E104</f>
        <v>470</v>
      </c>
      <c r="D104" s="3">
        <v>26</v>
      </c>
      <c r="E104" s="3">
        <v>26</v>
      </c>
      <c r="F104" s="3">
        <v>416</v>
      </c>
      <c r="G104" s="3">
        <v>496</v>
      </c>
      <c r="H104" s="29">
        <f>MROUND((H101*20),0.25)</f>
        <v>445</v>
      </c>
      <c r="I104" s="29">
        <f>MROUND((I101*20),0.25)</f>
        <v>535</v>
      </c>
      <c r="J104" s="3">
        <v>26</v>
      </c>
      <c r="K104" s="3">
        <v>26</v>
      </c>
      <c r="L104" s="3">
        <f t="shared" ref="L104:M105" si="37">H104+J104</f>
        <v>471</v>
      </c>
      <c r="M104" s="3">
        <f t="shared" si="37"/>
        <v>561</v>
      </c>
      <c r="N104"/>
      <c r="O104"/>
      <c r="P104"/>
      <c r="Q104"/>
      <c r="R104"/>
      <c r="S104"/>
      <c r="T104" s="3"/>
      <c r="U104" s="24" t="s">
        <v>61</v>
      </c>
      <c r="V104" s="437">
        <f t="shared" si="36"/>
        <v>273705</v>
      </c>
      <c r="W104" s="437">
        <f t="shared" si="36"/>
        <v>40050</v>
      </c>
      <c r="X104" s="439">
        <f>SUM(V104:W104)</f>
        <v>313755</v>
      </c>
      <c r="Z104"/>
      <c r="AA104"/>
      <c r="AB104"/>
      <c r="AF104"/>
      <c r="AG104"/>
      <c r="AH104"/>
      <c r="AI104"/>
    </row>
    <row r="105" spans="1:35" ht="16.5" thickBot="1" x14ac:dyDescent="0.3">
      <c r="A105" s="7" t="s">
        <v>61</v>
      </c>
      <c r="B105" s="29">
        <f t="shared" ref="B105:B106" si="38">F105-D105</f>
        <v>310</v>
      </c>
      <c r="C105" s="29">
        <f t="shared" ref="C105:C106" si="39">G105-E105</f>
        <v>390</v>
      </c>
      <c r="D105" s="3">
        <v>20</v>
      </c>
      <c r="E105" s="3">
        <v>20</v>
      </c>
      <c r="F105" s="3">
        <v>330</v>
      </c>
      <c r="G105" s="3">
        <v>410</v>
      </c>
      <c r="H105" s="29">
        <f>MROUND((H102*20),0.25)</f>
        <v>355</v>
      </c>
      <c r="I105" s="29">
        <f>MROUND((I102*20),0.25)</f>
        <v>445</v>
      </c>
      <c r="J105" s="3">
        <v>20</v>
      </c>
      <c r="K105" s="3">
        <v>20</v>
      </c>
      <c r="L105" s="3">
        <f t="shared" si="37"/>
        <v>375</v>
      </c>
      <c r="M105" s="3">
        <f t="shared" si="37"/>
        <v>465</v>
      </c>
      <c r="N105"/>
      <c r="O105"/>
      <c r="P105"/>
      <c r="Q105"/>
      <c r="R105"/>
      <c r="S105"/>
      <c r="U105" s="24" t="s">
        <v>301</v>
      </c>
      <c r="V105" s="437">
        <f t="shared" si="36"/>
        <v>4290</v>
      </c>
      <c r="W105" s="437">
        <f t="shared" si="36"/>
        <v>1065</v>
      </c>
      <c r="X105" s="439">
        <f>SUM(V105:W105)</f>
        <v>5355</v>
      </c>
      <c r="Z105"/>
      <c r="AA105"/>
      <c r="AB105"/>
      <c r="AF105"/>
      <c r="AG105"/>
      <c r="AH105"/>
      <c r="AI105"/>
    </row>
    <row r="106" spans="1:35" ht="16.5" thickBot="1" x14ac:dyDescent="0.3">
      <c r="A106" s="2" t="s">
        <v>301</v>
      </c>
      <c r="B106" s="29">
        <f t="shared" si="38"/>
        <v>230</v>
      </c>
      <c r="C106" s="29">
        <f t="shared" si="39"/>
        <v>310</v>
      </c>
      <c r="D106" s="29">
        <v>15</v>
      </c>
      <c r="E106" s="29">
        <v>15</v>
      </c>
      <c r="F106" s="3">
        <v>245</v>
      </c>
      <c r="G106" s="3">
        <v>325</v>
      </c>
      <c r="H106" s="29">
        <f>MROUND((H100*20),0.25)</f>
        <v>260</v>
      </c>
      <c r="I106" s="29">
        <f>MROUND((I100*20),0.25)</f>
        <v>355</v>
      </c>
      <c r="J106" s="29">
        <v>15</v>
      </c>
      <c r="K106" s="29">
        <v>15</v>
      </c>
      <c r="L106" s="3">
        <f>H106+J106</f>
        <v>275</v>
      </c>
      <c r="M106" s="3">
        <f>I106+K106</f>
        <v>370</v>
      </c>
      <c r="N106"/>
      <c r="O106"/>
      <c r="P106"/>
      <c r="Q106"/>
      <c r="R106"/>
      <c r="S106"/>
      <c r="T106" s="3"/>
      <c r="U106" s="47" t="s">
        <v>78</v>
      </c>
      <c r="V106" s="440">
        <f>SUM(V90:V105)</f>
        <v>1291048</v>
      </c>
      <c r="W106" s="440">
        <f>SUM(W90:W105)</f>
        <v>898965.5</v>
      </c>
      <c r="X106" s="441">
        <f>SUM(X88:X105)</f>
        <v>2190013.5</v>
      </c>
      <c r="Y106" s="31"/>
      <c r="Z106"/>
      <c r="AA106"/>
      <c r="AB106"/>
      <c r="AF106"/>
      <c r="AG106"/>
      <c r="AH106"/>
      <c r="AI106"/>
    </row>
    <row r="107" spans="1:35" ht="16.5" thickBot="1" x14ac:dyDescent="0.3">
      <c r="A107" s="5" t="s">
        <v>12</v>
      </c>
      <c r="B107" s="24"/>
      <c r="H107" s="24"/>
      <c r="N107"/>
      <c r="O107"/>
      <c r="P107"/>
      <c r="Q107"/>
      <c r="R107"/>
      <c r="S107"/>
      <c r="U107" s="4" t="s">
        <v>17</v>
      </c>
      <c r="V107" s="437"/>
      <c r="W107" s="437"/>
      <c r="X107" s="439"/>
      <c r="Z107"/>
      <c r="AA107"/>
      <c r="AB107"/>
    </row>
    <row r="108" spans="1:35" ht="16.5" thickBot="1" x14ac:dyDescent="0.3">
      <c r="A108" s="7" t="s">
        <v>80</v>
      </c>
      <c r="B108" s="29">
        <f>F108-D108</f>
        <v>66</v>
      </c>
      <c r="C108" s="29">
        <f>G108-E108</f>
        <v>83</v>
      </c>
      <c r="D108" s="3">
        <f>D105/4</f>
        <v>5</v>
      </c>
      <c r="E108" s="3">
        <f>E105/4</f>
        <v>5</v>
      </c>
      <c r="F108" s="3">
        <v>71</v>
      </c>
      <c r="G108" s="3">
        <v>88</v>
      </c>
      <c r="H108" s="29">
        <f>MROUND((H102*5)*(1-$B$126),0.25)</f>
        <v>75.5</v>
      </c>
      <c r="I108" s="29">
        <f>MROUND((I102*5)*(1-$B$126),0.25)</f>
        <v>94.5</v>
      </c>
      <c r="J108" s="3">
        <f>D108</f>
        <v>5</v>
      </c>
      <c r="K108" s="3">
        <f>E108</f>
        <v>5</v>
      </c>
      <c r="L108" s="3">
        <f>H108+J108</f>
        <v>80.5</v>
      </c>
      <c r="M108" s="3">
        <f>I108+K108</f>
        <v>99.5</v>
      </c>
      <c r="N108"/>
      <c r="O108"/>
      <c r="P108"/>
      <c r="Q108"/>
      <c r="R108"/>
      <c r="S108"/>
      <c r="U108" s="24" t="s">
        <v>48</v>
      </c>
      <c r="V108" s="437">
        <f t="shared" ref="V108:W111" si="40">B78*H110</f>
        <v>22123.125</v>
      </c>
      <c r="W108" s="437">
        <f t="shared" si="40"/>
        <v>22345</v>
      </c>
      <c r="X108" s="439">
        <f t="shared" ref="X108:X115" si="41">SUM(V108:W108)</f>
        <v>44468.125</v>
      </c>
      <c r="Z108"/>
      <c r="AA108"/>
      <c r="AB108"/>
    </row>
    <row r="109" spans="1:35" ht="16.5" thickBot="1" x14ac:dyDescent="0.3">
      <c r="A109" s="191" t="s">
        <v>17</v>
      </c>
      <c r="B109" s="525"/>
      <c r="C109" s="526"/>
      <c r="D109" s="526"/>
      <c r="E109" s="526"/>
      <c r="F109" s="526"/>
      <c r="G109" s="527"/>
      <c r="H109" s="525"/>
      <c r="I109" s="526"/>
      <c r="J109" s="526"/>
      <c r="K109" s="526"/>
      <c r="L109" s="526"/>
      <c r="M109" s="528"/>
      <c r="N109"/>
      <c r="O109"/>
      <c r="P109"/>
      <c r="Q109"/>
      <c r="R109"/>
      <c r="S109"/>
      <c r="U109" s="24" t="s">
        <v>49</v>
      </c>
      <c r="V109" s="437">
        <f t="shared" si="40"/>
        <v>41130.25</v>
      </c>
      <c r="W109" s="437">
        <f t="shared" si="40"/>
        <v>51195.5</v>
      </c>
      <c r="X109" s="439">
        <f t="shared" si="41"/>
        <v>92325.75</v>
      </c>
      <c r="Z109"/>
      <c r="AA109"/>
      <c r="AB109"/>
    </row>
    <row r="110" spans="1:35" ht="16.5" thickBot="1" x14ac:dyDescent="0.3">
      <c r="A110" s="2" t="s">
        <v>48</v>
      </c>
      <c r="B110" s="29">
        <f>F110-D110</f>
        <v>29.5</v>
      </c>
      <c r="C110" s="29">
        <f>G110-E110</f>
        <v>36</v>
      </c>
      <c r="D110" s="3">
        <v>4</v>
      </c>
      <c r="E110" s="3">
        <v>6</v>
      </c>
      <c r="F110" s="3">
        <v>33.5</v>
      </c>
      <c r="G110" s="3">
        <v>42</v>
      </c>
      <c r="H110" s="93">
        <f>MROUND(B110*(1+$B$7),0.25)</f>
        <v>33.75</v>
      </c>
      <c r="I110" s="93">
        <f>MROUND(C110*(1+$B$7),0.25)</f>
        <v>41</v>
      </c>
      <c r="J110" s="3">
        <f>D110</f>
        <v>4</v>
      </c>
      <c r="K110" s="3">
        <f>E110</f>
        <v>6</v>
      </c>
      <c r="L110" s="3">
        <f>H110+J110</f>
        <v>37.75</v>
      </c>
      <c r="M110" s="3">
        <f t="shared" ref="M110" si="42">I110+K110</f>
        <v>47</v>
      </c>
      <c r="N110"/>
      <c r="O110"/>
      <c r="P110"/>
      <c r="Q110"/>
      <c r="R110"/>
      <c r="S110"/>
      <c r="U110" s="24" t="s">
        <v>50</v>
      </c>
      <c r="V110" s="437">
        <f t="shared" si="40"/>
        <v>15839.5</v>
      </c>
      <c r="W110" s="437">
        <f t="shared" si="40"/>
        <v>23220</v>
      </c>
      <c r="X110" s="439">
        <f t="shared" si="41"/>
        <v>39059.5</v>
      </c>
      <c r="Z110"/>
      <c r="AA110"/>
      <c r="AB110"/>
    </row>
    <row r="111" spans="1:35" ht="16.5" thickBot="1" x14ac:dyDescent="0.3">
      <c r="A111" s="2" t="s">
        <v>49</v>
      </c>
      <c r="B111" s="29">
        <f t="shared" ref="B111:B114" si="43">F111-D111</f>
        <v>58.25</v>
      </c>
      <c r="C111" s="29">
        <f t="shared" ref="C111:C114" si="44">G111-E111</f>
        <v>69.5</v>
      </c>
      <c r="D111" s="3">
        <v>8</v>
      </c>
      <c r="E111" s="3">
        <v>11</v>
      </c>
      <c r="F111" s="3">
        <v>66.25</v>
      </c>
      <c r="G111" s="3">
        <v>80.5</v>
      </c>
      <c r="H111" s="93">
        <f t="shared" ref="H111:H114" si="45">MROUND(B111*(1+$B$7),0.25)</f>
        <v>66.5</v>
      </c>
      <c r="I111" s="93">
        <f t="shared" ref="I111:I114" si="46">MROUND(C111*(1+$B$7),0.25)</f>
        <v>79.25</v>
      </c>
      <c r="J111" s="3">
        <f t="shared" ref="J111:K113" si="47">D111</f>
        <v>8</v>
      </c>
      <c r="K111" s="3">
        <f t="shared" si="47"/>
        <v>11</v>
      </c>
      <c r="L111" s="3">
        <f t="shared" ref="L111:M114" si="48">H111+J111</f>
        <v>74.5</v>
      </c>
      <c r="M111" s="3">
        <f t="shared" ref="M111:M113" si="49">I111+K111</f>
        <v>90.25</v>
      </c>
      <c r="N111"/>
      <c r="O111"/>
      <c r="P111"/>
      <c r="Q111"/>
      <c r="R111"/>
      <c r="S111"/>
      <c r="U111" s="24" t="s">
        <v>51</v>
      </c>
      <c r="V111" s="437">
        <f t="shared" si="40"/>
        <v>9080.5</v>
      </c>
      <c r="W111" s="437">
        <f t="shared" si="40"/>
        <v>12928.5</v>
      </c>
      <c r="X111" s="439">
        <f t="shared" si="41"/>
        <v>22009</v>
      </c>
      <c r="Z111"/>
      <c r="AA111"/>
      <c r="AB111"/>
    </row>
    <row r="112" spans="1:35" ht="16.5" thickBot="1" x14ac:dyDescent="0.3">
      <c r="A112" s="2" t="s">
        <v>50</v>
      </c>
      <c r="B112" s="29">
        <f t="shared" si="43"/>
        <v>88</v>
      </c>
      <c r="C112" s="29">
        <f t="shared" si="44"/>
        <v>105.25</v>
      </c>
      <c r="D112" s="3">
        <v>11</v>
      </c>
      <c r="E112" s="3">
        <v>18</v>
      </c>
      <c r="F112" s="3">
        <v>99</v>
      </c>
      <c r="G112" s="3">
        <v>123.25</v>
      </c>
      <c r="H112" s="93">
        <f t="shared" si="45"/>
        <v>100.25</v>
      </c>
      <c r="I112" s="93">
        <f t="shared" si="46"/>
        <v>120</v>
      </c>
      <c r="J112" s="3">
        <f t="shared" si="47"/>
        <v>11</v>
      </c>
      <c r="K112" s="3">
        <f t="shared" si="47"/>
        <v>18</v>
      </c>
      <c r="L112" s="3">
        <f t="shared" si="48"/>
        <v>111.25</v>
      </c>
      <c r="M112" s="3">
        <f t="shared" si="49"/>
        <v>138</v>
      </c>
      <c r="N112"/>
      <c r="O112"/>
      <c r="P112"/>
      <c r="Q112"/>
      <c r="R112"/>
      <c r="S112"/>
      <c r="U112" s="24" t="s">
        <v>146</v>
      </c>
      <c r="V112" s="437">
        <f t="shared" ref="V112:W115" si="50">B82*H118</f>
        <v>16453.125</v>
      </c>
      <c r="W112" s="437">
        <f t="shared" si="50"/>
        <v>52275</v>
      </c>
      <c r="X112" s="439">
        <f t="shared" si="41"/>
        <v>68728.125</v>
      </c>
      <c r="Z112"/>
      <c r="AA112"/>
      <c r="AB112"/>
    </row>
    <row r="113" spans="1:38" ht="16.5" thickBot="1" x14ac:dyDescent="0.3">
      <c r="A113" s="2" t="s">
        <v>51</v>
      </c>
      <c r="B113" s="29">
        <f t="shared" si="43"/>
        <v>125.5</v>
      </c>
      <c r="C113" s="29">
        <f t="shared" si="44"/>
        <v>145.5</v>
      </c>
      <c r="D113" s="3">
        <v>19</v>
      </c>
      <c r="E113" s="3">
        <v>23</v>
      </c>
      <c r="F113" s="3">
        <v>144.5</v>
      </c>
      <c r="G113" s="3">
        <v>168.5</v>
      </c>
      <c r="H113" s="93">
        <f t="shared" si="45"/>
        <v>143</v>
      </c>
      <c r="I113" s="93">
        <f t="shared" si="46"/>
        <v>165.75</v>
      </c>
      <c r="J113" s="3">
        <f t="shared" si="47"/>
        <v>19</v>
      </c>
      <c r="K113" s="3">
        <f t="shared" si="47"/>
        <v>23</v>
      </c>
      <c r="L113" s="3">
        <f t="shared" si="48"/>
        <v>162</v>
      </c>
      <c r="M113" s="3">
        <f t="shared" si="49"/>
        <v>188.75</v>
      </c>
      <c r="N113"/>
      <c r="O113"/>
      <c r="P113"/>
      <c r="Q113"/>
      <c r="R113"/>
      <c r="S113"/>
      <c r="U113" s="24" t="s">
        <v>147</v>
      </c>
      <c r="V113" s="437">
        <f t="shared" si="50"/>
        <v>21113.75</v>
      </c>
      <c r="W113" s="437">
        <f t="shared" si="50"/>
        <v>26152.5</v>
      </c>
      <c r="X113" s="439">
        <f t="shared" si="41"/>
        <v>47266.25</v>
      </c>
      <c r="Z113"/>
      <c r="AA113"/>
      <c r="AB113"/>
    </row>
    <row r="114" spans="1:38" ht="16.5" thickBot="1" x14ac:dyDescent="0.3">
      <c r="A114" s="2" t="s">
        <v>479</v>
      </c>
      <c r="B114" s="29">
        <f t="shared" si="43"/>
        <v>20.75</v>
      </c>
      <c r="C114" s="29">
        <f t="shared" si="44"/>
        <v>24.5</v>
      </c>
      <c r="D114" s="3">
        <v>4</v>
      </c>
      <c r="E114" s="3">
        <v>4</v>
      </c>
      <c r="F114" s="3">
        <v>24.75</v>
      </c>
      <c r="G114" s="3">
        <v>28.5</v>
      </c>
      <c r="H114" s="93">
        <f t="shared" si="45"/>
        <v>23.75</v>
      </c>
      <c r="I114" s="93">
        <f t="shared" si="46"/>
        <v>28</v>
      </c>
      <c r="J114" s="3">
        <f>J110</f>
        <v>4</v>
      </c>
      <c r="K114" s="3">
        <f>J114</f>
        <v>4</v>
      </c>
      <c r="L114" s="3">
        <f t="shared" si="48"/>
        <v>27.75</v>
      </c>
      <c r="M114" s="3">
        <f t="shared" si="48"/>
        <v>32</v>
      </c>
      <c r="N114"/>
      <c r="O114"/>
      <c r="P114"/>
      <c r="Q114"/>
      <c r="R114"/>
      <c r="S114"/>
      <c r="U114" s="24" t="s">
        <v>148</v>
      </c>
      <c r="V114" s="437">
        <f t="shared" si="50"/>
        <v>6265.625</v>
      </c>
      <c r="W114" s="437">
        <f t="shared" si="50"/>
        <v>10200</v>
      </c>
      <c r="X114" s="439">
        <f t="shared" si="41"/>
        <v>16465.625</v>
      </c>
      <c r="Z114"/>
      <c r="AA114"/>
      <c r="AB114"/>
    </row>
    <row r="115" spans="1:38" x14ac:dyDescent="0.25">
      <c r="A115" s="2" t="s">
        <v>53</v>
      </c>
      <c r="B115" s="24"/>
      <c r="H115" s="24"/>
      <c r="N115"/>
      <c r="O115"/>
      <c r="P115"/>
      <c r="Q115"/>
      <c r="R115"/>
      <c r="S115"/>
      <c r="U115" s="24" t="s">
        <v>149</v>
      </c>
      <c r="V115" s="437">
        <f t="shared" si="50"/>
        <v>5362.5</v>
      </c>
      <c r="W115" s="437">
        <f t="shared" si="50"/>
        <v>3729.375</v>
      </c>
      <c r="X115" s="439">
        <f t="shared" si="41"/>
        <v>9091.875</v>
      </c>
      <c r="AB115" s="15"/>
      <c r="AF115" s="15"/>
      <c r="AG115" s="30"/>
    </row>
    <row r="116" spans="1:38" x14ac:dyDescent="0.25">
      <c r="A116" s="2" t="s">
        <v>28</v>
      </c>
      <c r="B116" s="24"/>
      <c r="H116" s="24"/>
      <c r="N116"/>
      <c r="O116"/>
      <c r="P116"/>
      <c r="Q116"/>
      <c r="R116"/>
      <c r="S116"/>
      <c r="U116" s="47" t="s">
        <v>17</v>
      </c>
      <c r="V116" s="442">
        <f>SUM(V108:V115)</f>
        <v>137368.375</v>
      </c>
      <c r="W116" s="442">
        <f>SUM(W108:W115)</f>
        <v>202045.875</v>
      </c>
      <c r="X116" s="441">
        <f>SUM(X108:X115)</f>
        <v>339414.25</v>
      </c>
    </row>
    <row r="117" spans="1:38" ht="16.5" thickBot="1" x14ac:dyDescent="0.3">
      <c r="A117" s="4" t="s">
        <v>68</v>
      </c>
      <c r="B117" s="24"/>
      <c r="H117" s="24"/>
      <c r="N117"/>
      <c r="O117"/>
      <c r="P117"/>
      <c r="Q117"/>
      <c r="R117"/>
      <c r="S117"/>
      <c r="U117" s="48" t="s">
        <v>66</v>
      </c>
      <c r="V117" s="443">
        <f>V106+V116</f>
        <v>1428416.375</v>
      </c>
      <c r="W117" s="443">
        <f t="shared" ref="W117:X117" si="51">W106+W116</f>
        <v>1101011.375</v>
      </c>
      <c r="X117" s="443">
        <f t="shared" si="51"/>
        <v>2529427.75</v>
      </c>
    </row>
    <row r="118" spans="1:38" x14ac:dyDescent="0.25">
      <c r="A118" s="2" t="s">
        <v>48</v>
      </c>
      <c r="B118" s="29">
        <f>F118-D118</f>
        <v>147.5</v>
      </c>
      <c r="C118" s="29">
        <f>G118-E118</f>
        <v>180</v>
      </c>
      <c r="D118" s="29">
        <f t="shared" ref="D118:E118" si="52">D110*5</f>
        <v>20</v>
      </c>
      <c r="E118" s="29">
        <f t="shared" si="52"/>
        <v>30</v>
      </c>
      <c r="F118" s="3">
        <v>167.5</v>
      </c>
      <c r="G118" s="3">
        <v>210</v>
      </c>
      <c r="H118" s="29">
        <f t="shared" ref="H118:K121" si="53">H110*5</f>
        <v>168.75</v>
      </c>
      <c r="I118" s="29">
        <f t="shared" si="53"/>
        <v>205</v>
      </c>
      <c r="J118" s="29">
        <f t="shared" si="53"/>
        <v>20</v>
      </c>
      <c r="K118" s="29">
        <f t="shared" si="53"/>
        <v>30</v>
      </c>
      <c r="L118" s="3">
        <f t="shared" ref="L118:M121" si="54">H118+J118</f>
        <v>188.75</v>
      </c>
      <c r="M118" s="3">
        <f t="shared" si="54"/>
        <v>235</v>
      </c>
      <c r="N118"/>
      <c r="O118"/>
      <c r="P118"/>
      <c r="Q118"/>
      <c r="R118"/>
      <c r="S118"/>
      <c r="V118" s="10"/>
    </row>
    <row r="119" spans="1:38" x14ac:dyDescent="0.25">
      <c r="A119" s="2" t="s">
        <v>49</v>
      </c>
      <c r="B119" s="29">
        <f t="shared" ref="B119:B125" si="55">F119-D119</f>
        <v>291.25</v>
      </c>
      <c r="C119" s="29">
        <f t="shared" ref="C119:C125" si="56">G119-E119</f>
        <v>347.5</v>
      </c>
      <c r="D119" s="29">
        <f t="shared" ref="D119:E119" si="57">D111*5</f>
        <v>40</v>
      </c>
      <c r="E119" s="29">
        <f t="shared" si="57"/>
        <v>55</v>
      </c>
      <c r="F119" s="3">
        <v>331.25</v>
      </c>
      <c r="G119" s="3">
        <v>402.5</v>
      </c>
      <c r="H119" s="29">
        <f t="shared" si="53"/>
        <v>332.5</v>
      </c>
      <c r="I119" s="29">
        <f t="shared" si="53"/>
        <v>396.25</v>
      </c>
      <c r="J119" s="29">
        <f t="shared" si="53"/>
        <v>40</v>
      </c>
      <c r="K119" s="29">
        <f t="shared" si="53"/>
        <v>55</v>
      </c>
      <c r="L119" s="3">
        <f t="shared" si="54"/>
        <v>372.5</v>
      </c>
      <c r="M119" s="3">
        <f t="shared" si="54"/>
        <v>451.25</v>
      </c>
      <c r="N119"/>
      <c r="O119"/>
      <c r="P119"/>
      <c r="Q119"/>
      <c r="R119"/>
      <c r="S119"/>
      <c r="V119" s="10"/>
    </row>
    <row r="120" spans="1:38" x14ac:dyDescent="0.25">
      <c r="A120" s="2" t="s">
        <v>50</v>
      </c>
      <c r="B120" s="29">
        <f t="shared" si="55"/>
        <v>440</v>
      </c>
      <c r="C120" s="29">
        <f t="shared" si="56"/>
        <v>526.25</v>
      </c>
      <c r="D120" s="29">
        <f t="shared" ref="D120:E120" si="58">D112*5</f>
        <v>55</v>
      </c>
      <c r="E120" s="29">
        <f t="shared" si="58"/>
        <v>90</v>
      </c>
      <c r="F120" s="3">
        <v>495</v>
      </c>
      <c r="G120" s="3">
        <v>616.25</v>
      </c>
      <c r="H120" s="29">
        <f t="shared" si="53"/>
        <v>501.25</v>
      </c>
      <c r="I120" s="29">
        <f t="shared" si="53"/>
        <v>600</v>
      </c>
      <c r="J120" s="29">
        <f t="shared" si="53"/>
        <v>55</v>
      </c>
      <c r="K120" s="29">
        <f t="shared" si="53"/>
        <v>90</v>
      </c>
      <c r="L120" s="3">
        <f t="shared" si="54"/>
        <v>556.25</v>
      </c>
      <c r="M120" s="3">
        <f t="shared" si="54"/>
        <v>690</v>
      </c>
      <c r="N120"/>
      <c r="O120"/>
      <c r="P120"/>
      <c r="Q120"/>
      <c r="R120"/>
      <c r="S120"/>
      <c r="V120" s="10"/>
    </row>
    <row r="121" spans="1:38" x14ac:dyDescent="0.25">
      <c r="A121" s="2" t="s">
        <v>51</v>
      </c>
      <c r="B121" s="29">
        <f t="shared" si="55"/>
        <v>627.5</v>
      </c>
      <c r="C121" s="29">
        <f t="shared" si="56"/>
        <v>727.5</v>
      </c>
      <c r="D121" s="29">
        <f t="shared" ref="D121:E121" si="59">D113*5</f>
        <v>95</v>
      </c>
      <c r="E121" s="29">
        <f t="shared" si="59"/>
        <v>115</v>
      </c>
      <c r="F121" s="3">
        <v>722.5</v>
      </c>
      <c r="G121" s="3">
        <v>842.5</v>
      </c>
      <c r="H121" s="29">
        <f t="shared" si="53"/>
        <v>715</v>
      </c>
      <c r="I121" s="29">
        <f t="shared" si="53"/>
        <v>828.75</v>
      </c>
      <c r="J121" s="29">
        <f t="shared" si="53"/>
        <v>95</v>
      </c>
      <c r="K121" s="29">
        <f t="shared" si="53"/>
        <v>115</v>
      </c>
      <c r="L121" s="3">
        <f t="shared" si="54"/>
        <v>810</v>
      </c>
      <c r="M121" s="3">
        <f t="shared" si="54"/>
        <v>943.75</v>
      </c>
      <c r="N121"/>
      <c r="O121"/>
      <c r="P121"/>
      <c r="Q121"/>
      <c r="R121"/>
      <c r="S121"/>
      <c r="V121" s="10"/>
    </row>
    <row r="122" spans="1:38" ht="16.899999999999999" hidden="1" customHeight="1" x14ac:dyDescent="0.25">
      <c r="A122" s="4" t="s">
        <v>29</v>
      </c>
      <c r="B122" s="29">
        <f t="shared" si="55"/>
        <v>0</v>
      </c>
      <c r="C122" s="29">
        <f t="shared" si="56"/>
        <v>0</v>
      </c>
      <c r="H122" s="24"/>
      <c r="O122" s="3">
        <f>SUM(K90:K121)</f>
        <v>444</v>
      </c>
      <c r="V122" s="10"/>
    </row>
    <row r="123" spans="1:38" hidden="1" x14ac:dyDescent="0.25">
      <c r="A123" s="2" t="s">
        <v>54</v>
      </c>
      <c r="B123" s="29">
        <f t="shared" si="55"/>
        <v>-346</v>
      </c>
      <c r="C123" s="29">
        <f t="shared" si="56"/>
        <v>-444</v>
      </c>
      <c r="D123" s="3">
        <f>SUM(D90:D121)</f>
        <v>346</v>
      </c>
      <c r="E123" s="3">
        <f>SUM(E90:E121)</f>
        <v>444</v>
      </c>
      <c r="H123" s="24"/>
      <c r="J123" s="3">
        <f t="shared" ref="J123" si="60">SUM(J90:J121)</f>
        <v>346</v>
      </c>
      <c r="K123" s="3">
        <f>SUM(K90:K121)</f>
        <v>444</v>
      </c>
      <c r="V123" s="10"/>
      <c r="AG123" s="6">
        <f>B6</f>
        <v>0</v>
      </c>
      <c r="AK123" s="6">
        <v>2387139.044028637</v>
      </c>
      <c r="AL123" s="1" t="s">
        <v>76</v>
      </c>
    </row>
    <row r="124" spans="1:38" hidden="1" x14ac:dyDescent="0.25">
      <c r="B124" s="29">
        <f t="shared" si="55"/>
        <v>0</v>
      </c>
      <c r="C124" s="29">
        <f t="shared" si="56"/>
        <v>0</v>
      </c>
      <c r="H124" s="29">
        <f>H105*0.8</f>
        <v>284</v>
      </c>
      <c r="V124" s="10"/>
      <c r="AE124" s="6">
        <f>SUM(X96:X114)</f>
        <v>4232350.875</v>
      </c>
      <c r="AG124" s="6">
        <f>AE124-B3</f>
        <v>1912474.875</v>
      </c>
      <c r="AK124" s="6">
        <f>X115</f>
        <v>9091.875</v>
      </c>
      <c r="AL124" s="1" t="s">
        <v>75</v>
      </c>
    </row>
    <row r="125" spans="1:38" hidden="1" x14ac:dyDescent="0.25">
      <c r="B125" s="29">
        <f t="shared" si="55"/>
        <v>0</v>
      </c>
      <c r="C125" s="29">
        <f t="shared" si="56"/>
        <v>0</v>
      </c>
      <c r="H125" s="24"/>
      <c r="U125" s="14"/>
      <c r="V125" s="10"/>
      <c r="AE125" s="10">
        <f>X115</f>
        <v>9091.875</v>
      </c>
      <c r="AG125" s="1">
        <f>AG123/AG124</f>
        <v>0</v>
      </c>
      <c r="AK125" s="6">
        <f>AK123-AK124</f>
        <v>2378047.169028637</v>
      </c>
      <c r="AL125" s="1" t="s">
        <v>77</v>
      </c>
    </row>
    <row r="126" spans="1:38" x14ac:dyDescent="0.25">
      <c r="A126" s="1" t="s">
        <v>455</v>
      </c>
      <c r="B126" s="1">
        <v>0.15</v>
      </c>
      <c r="C126" s="3"/>
      <c r="U126" s="195"/>
      <c r="V126" s="10"/>
      <c r="W126" s="10"/>
      <c r="X126" s="10"/>
      <c r="AE126" s="10"/>
    </row>
    <row r="127" spans="1:38" x14ac:dyDescent="0.25">
      <c r="B127" s="3"/>
      <c r="C127" s="3"/>
      <c r="F127" s="192"/>
      <c r="G127" s="194"/>
      <c r="H127" s="3"/>
      <c r="U127" s="196"/>
      <c r="V127" s="10"/>
      <c r="W127" s="10"/>
      <c r="X127" s="10"/>
      <c r="AE127" s="32"/>
    </row>
    <row r="128" spans="1:38" x14ac:dyDescent="0.25">
      <c r="B128" s="3"/>
      <c r="C128" s="3"/>
      <c r="F128" s="193"/>
      <c r="G128" s="194"/>
      <c r="H128" s="3"/>
      <c r="N128" s="19"/>
      <c r="O128" s="19"/>
    </row>
    <row r="129" spans="2:24" x14ac:dyDescent="0.25">
      <c r="B129" s="3"/>
      <c r="C129" s="3"/>
      <c r="F129" s="193"/>
      <c r="G129" s="194"/>
      <c r="H129" s="3"/>
      <c r="U129" s="196"/>
      <c r="V129" s="197"/>
      <c r="W129" s="197"/>
      <c r="X129" s="197"/>
    </row>
    <row r="130" spans="2:24" x14ac:dyDescent="0.25">
      <c r="B130" s="3"/>
      <c r="C130" s="3"/>
      <c r="F130" s="3"/>
      <c r="G130" s="194"/>
      <c r="H130" s="3"/>
    </row>
    <row r="133" spans="2:24" x14ac:dyDescent="0.25">
      <c r="C133" s="6"/>
      <c r="D133" s="6"/>
      <c r="F133" s="6"/>
    </row>
    <row r="134" spans="2:24" x14ac:dyDescent="0.25">
      <c r="C134" s="6"/>
      <c r="D134" s="6"/>
      <c r="E134" s="6"/>
      <c r="F134" s="6"/>
    </row>
    <row r="135" spans="2:24" x14ac:dyDescent="0.25">
      <c r="C135" s="6"/>
      <c r="D135" s="6"/>
    </row>
    <row r="136" spans="2:24" x14ac:dyDescent="0.25">
      <c r="C136" s="6"/>
      <c r="D136" s="6"/>
      <c r="E136" s="6"/>
      <c r="F136" s="6"/>
    </row>
    <row r="137" spans="2:24" x14ac:dyDescent="0.25">
      <c r="C137" s="6"/>
      <c r="D137" s="6"/>
      <c r="E137" s="6"/>
      <c r="F137" s="6"/>
    </row>
    <row r="138" spans="2:24" x14ac:dyDescent="0.25">
      <c r="C138" s="6"/>
      <c r="D138" s="6"/>
      <c r="E138" s="6"/>
      <c r="F138" s="6"/>
    </row>
    <row r="139" spans="2:24" x14ac:dyDescent="0.25">
      <c r="C139" s="6"/>
      <c r="D139" s="6"/>
      <c r="E139" s="6"/>
      <c r="F139" s="6"/>
    </row>
    <row r="140" spans="2:24" x14ac:dyDescent="0.25">
      <c r="C140" s="6"/>
      <c r="D140" s="6"/>
      <c r="E140" s="6"/>
      <c r="F140" s="6"/>
    </row>
    <row r="148" spans="1:2" x14ac:dyDescent="0.25">
      <c r="A148" s="25"/>
    </row>
    <row r="149" spans="1:2" x14ac:dyDescent="0.25">
      <c r="A149" s="2"/>
      <c r="B149" s="3"/>
    </row>
    <row r="150" spans="1:2" x14ac:dyDescent="0.25">
      <c r="A150" s="2"/>
    </row>
    <row r="151" spans="1:2" x14ac:dyDescent="0.25">
      <c r="A151" s="2"/>
    </row>
    <row r="152" spans="1:2" x14ac:dyDescent="0.25">
      <c r="A152" s="2"/>
    </row>
    <row r="153" spans="1:2" x14ac:dyDescent="0.25">
      <c r="A153" s="2"/>
    </row>
    <row r="154" spans="1:2" x14ac:dyDescent="0.25">
      <c r="A154" s="25"/>
    </row>
    <row r="155" spans="1:2" x14ac:dyDescent="0.25">
      <c r="A155" s="2"/>
    </row>
    <row r="156" spans="1:2" x14ac:dyDescent="0.25">
      <c r="A156" s="2"/>
    </row>
    <row r="157" spans="1:2" x14ac:dyDescent="0.25">
      <c r="A157" s="2"/>
    </row>
    <row r="158" spans="1:2" x14ac:dyDescent="0.25">
      <c r="A158" s="25"/>
    </row>
    <row r="159" spans="1:2" x14ac:dyDescent="0.25">
      <c r="A159" s="2"/>
    </row>
    <row r="160" spans="1:2" x14ac:dyDescent="0.25">
      <c r="A160" s="2"/>
    </row>
    <row r="161" spans="1:1" x14ac:dyDescent="0.25">
      <c r="A161" s="2"/>
    </row>
    <row r="162" spans="1:1" x14ac:dyDescent="0.25">
      <c r="A162" s="2"/>
    </row>
    <row r="163" spans="1:1" x14ac:dyDescent="0.25">
      <c r="A163" s="2"/>
    </row>
    <row r="164" spans="1:1" x14ac:dyDescent="0.25">
      <c r="A164" s="25"/>
    </row>
    <row r="165" spans="1:1" x14ac:dyDescent="0.25">
      <c r="A165" s="2"/>
    </row>
    <row r="166" spans="1:1" x14ac:dyDescent="0.25">
      <c r="A166" s="2"/>
    </row>
    <row r="167" spans="1:1" x14ac:dyDescent="0.25">
      <c r="A167" s="2"/>
    </row>
    <row r="168" spans="1:1" x14ac:dyDescent="0.25">
      <c r="A168" s="2"/>
    </row>
    <row r="169" spans="1:1" x14ac:dyDescent="0.25">
      <c r="A169" s="2"/>
    </row>
    <row r="170" spans="1:1" x14ac:dyDescent="0.25">
      <c r="A170" s="42"/>
    </row>
    <row r="171" spans="1:1" x14ac:dyDescent="0.25">
      <c r="A171" s="2"/>
    </row>
    <row r="172" spans="1:1" x14ac:dyDescent="0.25">
      <c r="A172" s="25"/>
    </row>
    <row r="173" spans="1:1" x14ac:dyDescent="0.25">
      <c r="A173" s="2"/>
    </row>
    <row r="174" spans="1:1" x14ac:dyDescent="0.25">
      <c r="A174" s="2"/>
    </row>
    <row r="175" spans="1:1" x14ac:dyDescent="0.25">
      <c r="A175" s="2"/>
    </row>
    <row r="176" spans="1:1" x14ac:dyDescent="0.25">
      <c r="A176" s="2"/>
    </row>
    <row r="177" spans="1:1" x14ac:dyDescent="0.25">
      <c r="A177" s="2"/>
    </row>
    <row r="178" spans="1:1" x14ac:dyDescent="0.25">
      <c r="A178" s="2"/>
    </row>
    <row r="179" spans="1:1" x14ac:dyDescent="0.25">
      <c r="A179" s="2"/>
    </row>
    <row r="180" spans="1:1" x14ac:dyDescent="0.25">
      <c r="A180" s="25"/>
    </row>
    <row r="181" spans="1:1" x14ac:dyDescent="0.25">
      <c r="A181" s="2"/>
    </row>
  </sheetData>
  <mergeCells count="31">
    <mergeCell ref="D2:G2"/>
    <mergeCell ref="D3:G3"/>
    <mergeCell ref="D4:G4"/>
    <mergeCell ref="D5:G5"/>
    <mergeCell ref="F53:G53"/>
    <mergeCell ref="B109:G109"/>
    <mergeCell ref="H109:M109"/>
    <mergeCell ref="H87:M87"/>
    <mergeCell ref="H88:I88"/>
    <mergeCell ref="J88:K88"/>
    <mergeCell ref="L88:M88"/>
    <mergeCell ref="B87:G87"/>
    <mergeCell ref="B88:C88"/>
    <mergeCell ref="D88:E88"/>
    <mergeCell ref="F88:G88"/>
    <mergeCell ref="Z87:AG87"/>
    <mergeCell ref="B9:F9"/>
    <mergeCell ref="H9:L9"/>
    <mergeCell ref="M9:Q9"/>
    <mergeCell ref="B10:C10"/>
    <mergeCell ref="D10:E10"/>
    <mergeCell ref="F10:G10"/>
    <mergeCell ref="H10:I10"/>
    <mergeCell ref="J10:K10"/>
    <mergeCell ref="L10:L11"/>
    <mergeCell ref="M10:N10"/>
    <mergeCell ref="O10:P10"/>
    <mergeCell ref="Q10:Q11"/>
    <mergeCell ref="B53:C53"/>
    <mergeCell ref="H53:I53"/>
    <mergeCell ref="D53:E53"/>
  </mergeCells>
  <pageMargins left="0.7" right="0.7" top="0.75" bottom="0.75" header="0.3" footer="0.3"/>
  <pageSetup scale="48" orientation="portrait" horizontalDpi="4294967295" verticalDpi="4294967295"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57345-DF38-47AC-95FA-5CF66838FFC0}">
  <sheetPr>
    <pageSetUpPr fitToPage="1"/>
  </sheetPr>
  <dimension ref="A6:Q78"/>
  <sheetViews>
    <sheetView topLeftCell="A28" zoomScale="98" zoomScaleNormal="98" workbookViewId="0">
      <selection activeCell="C44" sqref="C44"/>
    </sheetView>
  </sheetViews>
  <sheetFormatPr defaultColWidth="10.75" defaultRowHeight="15.75" x14ac:dyDescent="0.25"/>
  <cols>
    <col min="1" max="1" width="43.25" style="60" customWidth="1"/>
    <col min="2" max="3" width="12.5" style="60" customWidth="1"/>
    <col min="4" max="4" width="13.375" style="60" customWidth="1"/>
    <col min="5" max="10" width="12.5" style="60" customWidth="1"/>
    <col min="11" max="16384" width="10.75" style="60"/>
  </cols>
  <sheetData>
    <row r="6" spans="1:11" ht="45.75" customHeight="1" x14ac:dyDescent="0.25">
      <c r="A6" s="364" t="s">
        <v>95</v>
      </c>
      <c r="B6" s="466" t="s">
        <v>281</v>
      </c>
      <c r="C6" s="466"/>
      <c r="D6" s="358" t="s">
        <v>282</v>
      </c>
      <c r="E6" s="466" t="s">
        <v>283</v>
      </c>
      <c r="F6" s="467"/>
      <c r="G6" s="61"/>
      <c r="H6" s="61"/>
      <c r="I6" s="61"/>
      <c r="J6" s="61"/>
      <c r="K6" s="61"/>
    </row>
    <row r="7" spans="1:11" x14ac:dyDescent="0.25">
      <c r="A7" s="365"/>
      <c r="B7" s="366">
        <v>2024</v>
      </c>
      <c r="C7" s="366">
        <v>2025</v>
      </c>
      <c r="D7" s="367">
        <v>2026</v>
      </c>
      <c r="E7" s="367">
        <v>2027</v>
      </c>
      <c r="F7" s="368">
        <v>2028</v>
      </c>
      <c r="G7" s="62"/>
      <c r="H7" s="62"/>
      <c r="K7" s="62"/>
    </row>
    <row r="8" spans="1:11" x14ac:dyDescent="0.25">
      <c r="A8" s="369" t="s">
        <v>257</v>
      </c>
      <c r="B8" s="370">
        <v>1171005.56</v>
      </c>
      <c r="C8" s="370">
        <v>1338537.0900000001</v>
      </c>
      <c r="D8" s="370">
        <v>1564402</v>
      </c>
      <c r="E8" s="370"/>
      <c r="F8" s="371"/>
      <c r="G8" s="63"/>
      <c r="H8" s="63"/>
      <c r="I8" s="63"/>
      <c r="J8" s="63"/>
      <c r="K8" s="63"/>
    </row>
    <row r="9" spans="1:11" x14ac:dyDescent="0.25">
      <c r="A9" s="369" t="s">
        <v>258</v>
      </c>
      <c r="B9" s="370">
        <v>384785.1</v>
      </c>
      <c r="C9" s="370">
        <v>482100</v>
      </c>
      <c r="D9" s="370">
        <v>488370</v>
      </c>
      <c r="E9" s="370"/>
      <c r="F9" s="371"/>
      <c r="G9" s="63"/>
      <c r="H9" s="63"/>
      <c r="I9" s="63"/>
      <c r="J9" s="63"/>
      <c r="K9" s="63"/>
    </row>
    <row r="10" spans="1:11" x14ac:dyDescent="0.25">
      <c r="A10" s="369" t="s">
        <v>259</v>
      </c>
      <c r="B10" s="370">
        <f>SUM(B11:B14)</f>
        <v>255441.44</v>
      </c>
      <c r="C10" s="370">
        <f>SUM(C11:C14)</f>
        <v>282491</v>
      </c>
      <c r="D10" s="370">
        <f>SUM(D11:D14)</f>
        <v>482223</v>
      </c>
      <c r="E10" s="370"/>
      <c r="F10" s="371"/>
      <c r="G10" s="63"/>
      <c r="H10" s="63"/>
      <c r="I10" s="63"/>
      <c r="J10" s="63"/>
      <c r="K10" s="63"/>
    </row>
    <row r="11" spans="1:11" x14ac:dyDescent="0.25">
      <c r="A11" s="335" t="s">
        <v>265</v>
      </c>
      <c r="B11" s="338">
        <v>44939</v>
      </c>
      <c r="C11" s="338">
        <v>101972</v>
      </c>
      <c r="D11" s="338">
        <v>154500</v>
      </c>
      <c r="E11" s="338"/>
      <c r="F11" s="339"/>
      <c r="G11" s="63"/>
      <c r="H11" s="63"/>
      <c r="I11" s="63"/>
      <c r="J11" s="63"/>
      <c r="K11" s="63"/>
    </row>
    <row r="12" spans="1:11" x14ac:dyDescent="0.25">
      <c r="A12" s="335" t="s">
        <v>266</v>
      </c>
      <c r="B12" s="338">
        <v>209676.59</v>
      </c>
      <c r="C12" s="338">
        <v>159964</v>
      </c>
      <c r="D12" s="338">
        <v>305066</v>
      </c>
      <c r="E12" s="338"/>
      <c r="F12" s="339"/>
      <c r="G12" s="63"/>
      <c r="H12" s="63"/>
      <c r="I12" s="63"/>
      <c r="J12" s="63"/>
      <c r="K12" s="63"/>
    </row>
    <row r="13" spans="1:11" x14ac:dyDescent="0.25">
      <c r="A13" s="335" t="s">
        <v>267</v>
      </c>
      <c r="B13" s="338"/>
      <c r="C13" s="338">
        <v>54</v>
      </c>
      <c r="D13" s="338">
        <v>2060</v>
      </c>
      <c r="E13" s="338"/>
      <c r="F13" s="339"/>
      <c r="G13" s="63"/>
      <c r="H13" s="63"/>
      <c r="I13" s="63"/>
      <c r="J13" s="63"/>
      <c r="K13" s="63"/>
    </row>
    <row r="14" spans="1:11" x14ac:dyDescent="0.25">
      <c r="A14" s="335" t="s">
        <v>268</v>
      </c>
      <c r="B14" s="338">
        <v>825.85</v>
      </c>
      <c r="C14" s="338">
        <v>20501</v>
      </c>
      <c r="D14" s="338">
        <v>20597</v>
      </c>
      <c r="E14" s="338"/>
      <c r="F14" s="339"/>
      <c r="G14" s="63"/>
      <c r="H14" s="63"/>
      <c r="I14" s="63"/>
      <c r="J14" s="63"/>
      <c r="K14" s="63"/>
    </row>
    <row r="15" spans="1:11" x14ac:dyDescent="0.25">
      <c r="A15" s="369" t="s">
        <v>260</v>
      </c>
      <c r="B15" s="370">
        <f>SUM(B16:B32)</f>
        <v>1081023.8199999998</v>
      </c>
      <c r="C15" s="370">
        <f>SUM(C16:C32)</f>
        <v>2591009.0700000003</v>
      </c>
      <c r="D15" s="370">
        <f>SUM(D16:D32)</f>
        <v>2685865</v>
      </c>
      <c r="E15" s="370"/>
      <c r="F15" s="371"/>
      <c r="G15" s="63"/>
      <c r="H15" s="63"/>
      <c r="I15" s="63"/>
      <c r="J15" s="63"/>
      <c r="K15" s="63"/>
    </row>
    <row r="16" spans="1:11" x14ac:dyDescent="0.25">
      <c r="A16" s="335" t="s">
        <v>261</v>
      </c>
      <c r="B16" s="338">
        <v>197988.61</v>
      </c>
      <c r="C16" s="338">
        <v>294087</v>
      </c>
      <c r="D16" s="338">
        <v>432500</v>
      </c>
      <c r="E16" s="338"/>
      <c r="F16" s="339"/>
      <c r="G16" s="63"/>
      <c r="H16" s="63"/>
      <c r="I16" s="63"/>
      <c r="J16" s="63"/>
      <c r="K16" s="63"/>
    </row>
    <row r="17" spans="1:11" x14ac:dyDescent="0.25">
      <c r="A17" s="335" t="s">
        <v>262</v>
      </c>
      <c r="B17" s="338"/>
      <c r="C17" s="338">
        <v>664</v>
      </c>
      <c r="D17" s="338">
        <v>935</v>
      </c>
      <c r="E17" s="338"/>
      <c r="F17" s="339"/>
      <c r="G17" s="63"/>
      <c r="H17" s="63"/>
      <c r="I17" s="63"/>
      <c r="J17" s="63"/>
      <c r="K17" s="63"/>
    </row>
    <row r="18" spans="1:11" x14ac:dyDescent="0.25">
      <c r="A18" s="335" t="s">
        <v>290</v>
      </c>
      <c r="B18" s="338">
        <v>96.02</v>
      </c>
      <c r="C18" s="338"/>
      <c r="D18" s="338">
        <v>12360</v>
      </c>
      <c r="E18" s="338"/>
      <c r="F18" s="339"/>
      <c r="G18" s="63"/>
      <c r="H18" s="63"/>
      <c r="I18" s="63"/>
      <c r="J18" s="63"/>
      <c r="K18" s="63"/>
    </row>
    <row r="19" spans="1:11" x14ac:dyDescent="0.25">
      <c r="A19" s="335" t="s">
        <v>263</v>
      </c>
      <c r="B19" s="338">
        <v>8900.32</v>
      </c>
      <c r="C19" s="338">
        <v>13978</v>
      </c>
      <c r="D19" s="338">
        <v>7156</v>
      </c>
      <c r="E19" s="338"/>
      <c r="F19" s="339"/>
      <c r="G19" s="63"/>
      <c r="H19" s="63"/>
      <c r="I19" s="63"/>
      <c r="J19" s="63"/>
      <c r="K19" s="63"/>
    </row>
    <row r="20" spans="1:11" x14ac:dyDescent="0.25">
      <c r="A20" s="335" t="s">
        <v>264</v>
      </c>
      <c r="B20" s="338">
        <v>30657.9</v>
      </c>
      <c r="C20" s="338">
        <v>33144.5</v>
      </c>
      <c r="D20" s="338">
        <v>41600</v>
      </c>
      <c r="E20" s="338"/>
      <c r="F20" s="339"/>
      <c r="G20" s="63"/>
      <c r="H20" s="63"/>
      <c r="I20" s="63"/>
      <c r="J20" s="63"/>
      <c r="K20" s="63"/>
    </row>
    <row r="21" spans="1:11" x14ac:dyDescent="0.25">
      <c r="A21" s="335" t="s">
        <v>269</v>
      </c>
      <c r="B21" s="338">
        <v>83884.899999999994</v>
      </c>
      <c r="C21" s="338">
        <v>98645</v>
      </c>
      <c r="D21" s="338">
        <v>171834</v>
      </c>
      <c r="E21" s="338"/>
      <c r="F21" s="339"/>
      <c r="G21" s="63"/>
      <c r="H21" s="63"/>
      <c r="I21" s="63"/>
      <c r="J21" s="63"/>
      <c r="K21" s="63"/>
    </row>
    <row r="22" spans="1:11" x14ac:dyDescent="0.25">
      <c r="A22" s="335" t="s">
        <v>270</v>
      </c>
      <c r="B22" s="338">
        <v>9403.41</v>
      </c>
      <c r="C22" s="338">
        <v>11501</v>
      </c>
      <c r="D22" s="338">
        <v>10626</v>
      </c>
      <c r="E22" s="338"/>
      <c r="F22" s="339"/>
      <c r="G22" s="63"/>
      <c r="H22" s="63"/>
      <c r="I22" s="63"/>
      <c r="J22" s="63"/>
      <c r="K22" s="63"/>
    </row>
    <row r="23" spans="1:11" x14ac:dyDescent="0.25">
      <c r="A23" s="335" t="s">
        <v>271</v>
      </c>
      <c r="B23" s="338">
        <v>1473.54</v>
      </c>
      <c r="C23" s="338">
        <v>4989.5200000000004</v>
      </c>
      <c r="D23" s="338">
        <v>13424</v>
      </c>
      <c r="E23" s="338"/>
      <c r="F23" s="339"/>
      <c r="G23" s="63"/>
      <c r="H23" s="63"/>
      <c r="I23" s="63"/>
      <c r="J23" s="63"/>
      <c r="K23" s="63"/>
    </row>
    <row r="24" spans="1:11" x14ac:dyDescent="0.25">
      <c r="A24" s="335" t="s">
        <v>272</v>
      </c>
      <c r="B24" s="338">
        <v>159.83000000000001</v>
      </c>
      <c r="C24" s="338">
        <v>580.46</v>
      </c>
      <c r="D24" s="338">
        <v>515</v>
      </c>
      <c r="E24" s="338"/>
      <c r="F24" s="339"/>
      <c r="G24" s="63"/>
      <c r="H24" s="63"/>
      <c r="I24" s="63"/>
      <c r="J24" s="63"/>
      <c r="K24" s="63"/>
    </row>
    <row r="25" spans="1:11" x14ac:dyDescent="0.25">
      <c r="A25" s="335" t="s">
        <v>273</v>
      </c>
      <c r="B25" s="338">
        <v>5927.67</v>
      </c>
      <c r="C25" s="338">
        <v>731.68</v>
      </c>
      <c r="D25" s="338">
        <v>8215</v>
      </c>
      <c r="E25" s="338"/>
      <c r="F25" s="339"/>
      <c r="G25" s="63"/>
      <c r="H25" s="63"/>
      <c r="I25" s="63"/>
      <c r="J25" s="63"/>
      <c r="K25" s="63"/>
    </row>
    <row r="26" spans="1:11" x14ac:dyDescent="0.25">
      <c r="A26" s="335" t="s">
        <v>279</v>
      </c>
      <c r="B26" s="338">
        <v>76374.87</v>
      </c>
      <c r="C26" s="338">
        <v>463803.5</v>
      </c>
      <c r="D26" s="338">
        <v>215000</v>
      </c>
      <c r="E26" s="338"/>
      <c r="F26" s="339"/>
      <c r="G26" s="63"/>
      <c r="H26" s="63"/>
      <c r="I26" s="63"/>
      <c r="J26" s="63"/>
      <c r="K26" s="63"/>
    </row>
    <row r="27" spans="1:11" x14ac:dyDescent="0.25">
      <c r="A27" s="335" t="s">
        <v>280</v>
      </c>
      <c r="B27" s="338">
        <v>12585.55</v>
      </c>
      <c r="C27" s="338">
        <v>18472.77</v>
      </c>
      <c r="D27" s="338">
        <v>21522</v>
      </c>
      <c r="E27" s="338"/>
      <c r="F27" s="339"/>
      <c r="G27" s="63"/>
      <c r="H27" s="63"/>
      <c r="I27" s="63"/>
      <c r="J27" s="63"/>
      <c r="K27" s="63"/>
    </row>
    <row r="28" spans="1:11" x14ac:dyDescent="0.25">
      <c r="A28" s="335" t="s">
        <v>274</v>
      </c>
      <c r="B28" s="338">
        <v>199480.06</v>
      </c>
      <c r="C28" s="338">
        <v>99341</v>
      </c>
      <c r="D28" s="338">
        <v>467830</v>
      </c>
      <c r="E28" s="338"/>
      <c r="F28" s="339"/>
      <c r="G28" s="63"/>
      <c r="H28" s="63"/>
      <c r="I28" s="63"/>
      <c r="J28" s="63"/>
      <c r="K28" s="63"/>
    </row>
    <row r="29" spans="1:11" x14ac:dyDescent="0.25">
      <c r="A29" s="335" t="s">
        <v>275</v>
      </c>
      <c r="B29" s="338">
        <v>33688.47</v>
      </c>
      <c r="C29" s="338">
        <v>38754.42</v>
      </c>
      <c r="D29" s="338">
        <v>33196</v>
      </c>
      <c r="E29" s="338"/>
      <c r="F29" s="339"/>
      <c r="G29" s="63"/>
      <c r="H29" s="63"/>
      <c r="I29" s="63"/>
      <c r="J29" s="63"/>
      <c r="K29" s="63"/>
    </row>
    <row r="30" spans="1:11" x14ac:dyDescent="0.25">
      <c r="A30" s="335" t="s">
        <v>276</v>
      </c>
      <c r="B30" s="338">
        <v>244041.53</v>
      </c>
      <c r="C30" s="338">
        <v>1433848.72</v>
      </c>
      <c r="D30" s="338">
        <v>1122000</v>
      </c>
      <c r="E30" s="338"/>
      <c r="F30" s="339"/>
      <c r="G30" s="63"/>
      <c r="H30" s="63"/>
      <c r="I30" s="63"/>
      <c r="J30" s="63"/>
      <c r="K30" s="63"/>
    </row>
    <row r="31" spans="1:11" x14ac:dyDescent="0.25">
      <c r="A31" s="335" t="s">
        <v>277</v>
      </c>
      <c r="B31" s="338">
        <v>36616.629999999997</v>
      </c>
      <c r="C31" s="338">
        <v>17451.5</v>
      </c>
      <c r="D31" s="338">
        <v>26957</v>
      </c>
      <c r="E31" s="338"/>
      <c r="F31" s="339"/>
      <c r="G31" s="63"/>
      <c r="H31" s="63"/>
      <c r="I31" s="63"/>
      <c r="J31" s="63"/>
      <c r="K31" s="63"/>
    </row>
    <row r="32" spans="1:11" x14ac:dyDescent="0.25">
      <c r="A32" s="335" t="s">
        <v>278</v>
      </c>
      <c r="B32" s="338">
        <v>139744.51</v>
      </c>
      <c r="C32" s="338">
        <v>61016</v>
      </c>
      <c r="D32" s="338">
        <v>100195</v>
      </c>
      <c r="E32" s="338"/>
      <c r="F32" s="339"/>
      <c r="G32" s="63"/>
      <c r="H32" s="63"/>
      <c r="I32" s="63"/>
      <c r="J32" s="63"/>
      <c r="K32" s="63"/>
    </row>
    <row r="33" spans="1:17" x14ac:dyDescent="0.25">
      <c r="A33" s="361" t="s">
        <v>125</v>
      </c>
      <c r="B33" s="372">
        <f>B8+B9+B10+B15</f>
        <v>2892255.92</v>
      </c>
      <c r="C33" s="372">
        <f>C8+C9+C10+C15</f>
        <v>4694137.16</v>
      </c>
      <c r="D33" s="372">
        <f>D8+D9+D10+D15</f>
        <v>5220860</v>
      </c>
      <c r="E33" s="373"/>
      <c r="F33" s="374"/>
      <c r="G33" s="63"/>
      <c r="H33" s="63"/>
      <c r="I33" s="63"/>
      <c r="J33" s="63"/>
      <c r="K33" s="63"/>
    </row>
    <row r="34" spans="1:17" x14ac:dyDescent="0.25">
      <c r="A34" s="335" t="s">
        <v>126</v>
      </c>
      <c r="B34" s="338"/>
      <c r="C34" s="338"/>
      <c r="D34" s="375">
        <f>-D30</f>
        <v>-1122000</v>
      </c>
      <c r="E34" s="338"/>
      <c r="F34" s="339"/>
      <c r="G34" s="63"/>
      <c r="H34" s="63"/>
      <c r="I34" s="63"/>
      <c r="J34" s="63"/>
      <c r="K34" s="63"/>
    </row>
    <row r="35" spans="1:17" x14ac:dyDescent="0.25">
      <c r="A35" s="335" t="s">
        <v>97</v>
      </c>
      <c r="B35" s="336"/>
      <c r="C35" s="336"/>
      <c r="D35" s="338">
        <f>D33+D34</f>
        <v>4098860</v>
      </c>
      <c r="E35" s="338">
        <f>D35*(1+E55)</f>
        <v>4232482.8360000001</v>
      </c>
      <c r="F35" s="339">
        <f>E35*(1+F55)</f>
        <v>4336601.9137656</v>
      </c>
      <c r="G35" s="63"/>
      <c r="H35" s="63"/>
      <c r="I35" s="63"/>
      <c r="J35" s="63"/>
      <c r="K35" s="63"/>
      <c r="P35" s="62"/>
      <c r="Q35" s="62"/>
    </row>
    <row r="36" spans="1:17" x14ac:dyDescent="0.25">
      <c r="A36" s="335" t="s">
        <v>127</v>
      </c>
      <c r="B36" s="336"/>
      <c r="C36" s="336"/>
      <c r="D36" s="338">
        <f>C45</f>
        <v>906204.46</v>
      </c>
      <c r="E36" s="338">
        <f>C45*(1+E55)</f>
        <v>935746.72539599997</v>
      </c>
      <c r="F36" s="339">
        <f>E36*(1+F55)</f>
        <v>958766.09484074148</v>
      </c>
      <c r="G36" s="63"/>
      <c r="H36" s="63"/>
      <c r="I36" s="63"/>
      <c r="J36" s="63"/>
      <c r="K36" s="63"/>
      <c r="P36" s="63"/>
      <c r="Q36" s="63"/>
    </row>
    <row r="37" spans="1:17" x14ac:dyDescent="0.25">
      <c r="A37" s="376" t="s">
        <v>98</v>
      </c>
      <c r="B37" s="377"/>
      <c r="C37" s="377"/>
      <c r="D37" s="455">
        <f>D35+D36</f>
        <v>5005064.46</v>
      </c>
      <c r="E37" s="455">
        <f>D37*(1+E55)</f>
        <v>5168229.561396</v>
      </c>
      <c r="F37" s="455">
        <f>E37*(1+F55)</f>
        <v>5295368.0086063417</v>
      </c>
      <c r="G37" s="63"/>
      <c r="H37" s="63"/>
      <c r="I37" s="63"/>
      <c r="J37" s="63"/>
      <c r="K37" s="63"/>
      <c r="P37" s="63"/>
      <c r="Q37" s="63"/>
    </row>
    <row r="38" spans="1:17" x14ac:dyDescent="0.25">
      <c r="A38" s="362"/>
      <c r="B38" s="363"/>
      <c r="C38" s="363"/>
      <c r="D38" s="456"/>
      <c r="E38" s="456"/>
      <c r="F38" s="457"/>
      <c r="G38" s="63"/>
      <c r="H38" s="63"/>
      <c r="I38" s="63"/>
      <c r="J38" s="63"/>
      <c r="K38" s="63"/>
      <c r="P38" s="63"/>
      <c r="Q38" s="63"/>
    </row>
    <row r="39" spans="1:17" x14ac:dyDescent="0.25">
      <c r="A39" s="344" t="s">
        <v>56</v>
      </c>
      <c r="B39" s="359">
        <f>B33+B38</f>
        <v>2892255.92</v>
      </c>
      <c r="C39" s="359">
        <f>C33+C38</f>
        <v>4694137.16</v>
      </c>
      <c r="D39" s="359">
        <f>D35+D36+D38</f>
        <v>5005064.46</v>
      </c>
      <c r="E39" s="359">
        <f>E35+E36+E38</f>
        <v>5168229.561396</v>
      </c>
      <c r="F39" s="360">
        <f>F35+F36+F38</f>
        <v>5295368.0086063417</v>
      </c>
      <c r="G39" s="63"/>
      <c r="H39" s="63"/>
      <c r="I39" s="63"/>
      <c r="J39" s="63"/>
      <c r="K39" s="63"/>
    </row>
    <row r="40" spans="1:17" x14ac:dyDescent="0.25">
      <c r="B40" s="68"/>
      <c r="C40" s="68"/>
      <c r="D40" s="68"/>
      <c r="E40" s="458"/>
      <c r="F40" s="458"/>
      <c r="G40" s="62"/>
      <c r="H40" s="62"/>
      <c r="K40" s="62"/>
    </row>
    <row r="41" spans="1:17" x14ac:dyDescent="0.25">
      <c r="A41" s="349" t="s">
        <v>131</v>
      </c>
      <c r="B41" s="350" t="s">
        <v>286</v>
      </c>
      <c r="C41" s="409" t="s">
        <v>287</v>
      </c>
      <c r="D41" s="353"/>
      <c r="E41" s="63"/>
      <c r="F41" s="63"/>
      <c r="G41" s="65"/>
    </row>
    <row r="42" spans="1:17" x14ac:dyDescent="0.25">
      <c r="A42" s="335" t="s">
        <v>284</v>
      </c>
      <c r="B42" s="338">
        <f>918634+134518.67</f>
        <v>1053152.67</v>
      </c>
      <c r="C42" s="410"/>
      <c r="D42" s="354"/>
      <c r="E42" s="63"/>
      <c r="F42" s="63"/>
      <c r="M42" s="65"/>
      <c r="O42" s="65"/>
    </row>
    <row r="43" spans="1:17" x14ac:dyDescent="0.25">
      <c r="A43" s="335" t="s">
        <v>128</v>
      </c>
      <c r="B43" s="336"/>
      <c r="C43" s="460">
        <f>B42/2</f>
        <v>526576.33499999996</v>
      </c>
      <c r="D43" s="354"/>
      <c r="E43" s="63"/>
      <c r="F43" s="63"/>
      <c r="M43" s="65"/>
      <c r="N43" s="65"/>
      <c r="O43" s="65"/>
    </row>
    <row r="44" spans="1:17" ht="18.75" x14ac:dyDescent="0.25">
      <c r="A44" s="351" t="s">
        <v>129</v>
      </c>
      <c r="B44" s="336"/>
      <c r="C44" s="460">
        <f>D48</f>
        <v>379628.125</v>
      </c>
      <c r="D44" s="354"/>
      <c r="M44" s="65"/>
      <c r="N44" s="65"/>
      <c r="O44" s="65"/>
    </row>
    <row r="45" spans="1:17" x14ac:dyDescent="0.25">
      <c r="A45" s="342" t="s">
        <v>99</v>
      </c>
      <c r="B45" s="352"/>
      <c r="C45" s="411">
        <f>SUM(C43:C44)</f>
        <v>906204.46</v>
      </c>
      <c r="D45" s="355"/>
    </row>
    <row r="46" spans="1:17" x14ac:dyDescent="0.25">
      <c r="A46" s="101"/>
      <c r="B46" s="64"/>
      <c r="C46" s="100"/>
      <c r="D46" s="64"/>
    </row>
    <row r="47" spans="1:17" ht="18" x14ac:dyDescent="0.3">
      <c r="A47" s="345" t="s">
        <v>285</v>
      </c>
      <c r="B47" s="356" t="s">
        <v>434</v>
      </c>
      <c r="C47" s="356" t="s">
        <v>448</v>
      </c>
      <c r="D47" s="357" t="s">
        <v>106</v>
      </c>
    </row>
    <row r="48" spans="1:17" ht="16.5" x14ac:dyDescent="0.3">
      <c r="A48" s="346" t="s">
        <v>130</v>
      </c>
      <c r="B48" s="347">
        <v>244041.53</v>
      </c>
      <c r="C48" s="347">
        <f>C30-918634</f>
        <v>515214.72</v>
      </c>
      <c r="D48" s="348">
        <f>(B48+C48)/2</f>
        <v>379628.125</v>
      </c>
    </row>
    <row r="49" spans="1:11" x14ac:dyDescent="0.25">
      <c r="A49" s="62"/>
      <c r="C49" s="66"/>
    </row>
    <row r="50" spans="1:11" x14ac:dyDescent="0.25">
      <c r="A50" s="62"/>
      <c r="C50" s="66"/>
    </row>
    <row r="51" spans="1:11" x14ac:dyDescent="0.25">
      <c r="A51" s="62"/>
      <c r="C51" s="66"/>
    </row>
    <row r="52" spans="1:11" x14ac:dyDescent="0.25">
      <c r="E52" s="98"/>
    </row>
    <row r="54" spans="1:11" ht="16.899999999999999" customHeight="1" x14ac:dyDescent="0.25">
      <c r="B54" s="60">
        <v>2024</v>
      </c>
      <c r="C54" s="60">
        <v>2025</v>
      </c>
      <c r="D54" s="60">
        <v>2026</v>
      </c>
      <c r="E54" s="60">
        <v>2027</v>
      </c>
      <c r="F54" s="60">
        <v>2028</v>
      </c>
      <c r="G54" s="60">
        <v>2029</v>
      </c>
      <c r="H54" s="60">
        <v>2030</v>
      </c>
      <c r="I54" s="60">
        <v>2031</v>
      </c>
      <c r="K54" s="62"/>
    </row>
    <row r="55" spans="1:11" x14ac:dyDescent="0.25">
      <c r="A55" s="60" t="s">
        <v>100</v>
      </c>
      <c r="B55" s="62">
        <v>3.7100000000000001E-2</v>
      </c>
      <c r="C55" s="62">
        <v>2.5499999999999998E-2</v>
      </c>
      <c r="D55" s="62">
        <v>3.95E-2</v>
      </c>
      <c r="E55" s="62">
        <v>3.2599999999999997E-2</v>
      </c>
      <c r="F55" s="62">
        <v>2.46E-2</v>
      </c>
      <c r="G55" s="62">
        <v>2.1600000000000001E-2</v>
      </c>
      <c r="H55" s="62">
        <v>2.0899999999999998E-2</v>
      </c>
      <c r="I55" s="62">
        <v>2.1100000000000001E-2</v>
      </c>
    </row>
    <row r="56" spans="1:11" x14ac:dyDescent="0.25">
      <c r="A56" s="69" t="s">
        <v>120</v>
      </c>
    </row>
    <row r="58" spans="1:11" x14ac:dyDescent="0.25">
      <c r="A58" s="469" t="s">
        <v>451</v>
      </c>
      <c r="B58" s="470"/>
      <c r="C58" s="470"/>
      <c r="D58" s="470"/>
      <c r="E58" s="470"/>
      <c r="F58" s="470"/>
      <c r="G58" s="471"/>
    </row>
    <row r="59" spans="1:11" ht="16.899999999999999" customHeight="1" x14ac:dyDescent="0.25">
      <c r="A59" s="335"/>
      <c r="B59" s="468" t="s">
        <v>96</v>
      </c>
      <c r="C59" s="468"/>
      <c r="D59" s="336" t="s">
        <v>101</v>
      </c>
      <c r="E59" s="468" t="s">
        <v>377</v>
      </c>
      <c r="F59" s="468"/>
      <c r="G59" s="461" t="s">
        <v>102</v>
      </c>
    </row>
    <row r="60" spans="1:11" x14ac:dyDescent="0.25">
      <c r="A60" s="335" t="s">
        <v>103</v>
      </c>
      <c r="B60" s="337">
        <v>2024</v>
      </c>
      <c r="C60" s="337">
        <v>2025</v>
      </c>
      <c r="D60" s="337">
        <v>2026</v>
      </c>
      <c r="E60" s="337">
        <v>2027</v>
      </c>
      <c r="F60" s="337">
        <v>2028</v>
      </c>
      <c r="G60" s="461"/>
    </row>
    <row r="61" spans="1:11" x14ac:dyDescent="0.25">
      <c r="A61" s="335" t="s">
        <v>104</v>
      </c>
      <c r="B61" s="338">
        <f>B39</f>
        <v>2892255.92</v>
      </c>
      <c r="C61" s="338">
        <f>C39</f>
        <v>4694137.16</v>
      </c>
      <c r="D61" s="338">
        <f>D39</f>
        <v>5005064.46</v>
      </c>
      <c r="E61" s="338">
        <f>E39</f>
        <v>5168229.561396</v>
      </c>
      <c r="F61" s="338">
        <f>F39</f>
        <v>5295368.0086063417</v>
      </c>
      <c r="G61" s="339">
        <f>SUM(B61:F61)/5</f>
        <v>4611011.0220004674</v>
      </c>
    </row>
    <row r="62" spans="1:11" ht="18.75" x14ac:dyDescent="0.25">
      <c r="A62" s="335" t="s">
        <v>396</v>
      </c>
      <c r="B62" s="338">
        <v>62400</v>
      </c>
      <c r="C62" s="338">
        <v>93103.43</v>
      </c>
      <c r="D62" s="340">
        <f>(133417+132992+150119+62400+93103)/5</f>
        <v>114406.2</v>
      </c>
      <c r="E62" s="340">
        <f>D62</f>
        <v>114406.2</v>
      </c>
      <c r="F62" s="340">
        <f>D62</f>
        <v>114406.2</v>
      </c>
      <c r="G62" s="339">
        <f>SUM(B62:F62)/5</f>
        <v>99744.406000000003</v>
      </c>
    </row>
    <row r="63" spans="1:11" ht="18.75" x14ac:dyDescent="0.25">
      <c r="A63" s="335" t="s">
        <v>379</v>
      </c>
      <c r="B63" s="338">
        <v>269830</v>
      </c>
      <c r="C63" s="338">
        <v>291086</v>
      </c>
      <c r="D63" s="340">
        <f>(184560+451672+212507+269830+291086)/5</f>
        <v>281931</v>
      </c>
      <c r="E63" s="340">
        <f>D63</f>
        <v>281931</v>
      </c>
      <c r="F63" s="340">
        <f>D63</f>
        <v>281931</v>
      </c>
      <c r="G63" s="339">
        <f>SUM(B63:F63)/5</f>
        <v>281341.8</v>
      </c>
    </row>
    <row r="64" spans="1:11" ht="18.75" x14ac:dyDescent="0.25">
      <c r="A64" s="335" t="s">
        <v>376</v>
      </c>
      <c r="B64" s="338">
        <v>11641</v>
      </c>
      <c r="C64" s="338">
        <v>14774</v>
      </c>
      <c r="D64" s="340">
        <v>29302</v>
      </c>
      <c r="E64" s="340">
        <v>30000</v>
      </c>
      <c r="F64" s="340">
        <v>30000</v>
      </c>
      <c r="G64" s="339">
        <f>SUM(B64:F64)/5</f>
        <v>23143.4</v>
      </c>
    </row>
    <row r="65" spans="1:8" x14ac:dyDescent="0.25">
      <c r="A65" s="335" t="s">
        <v>380</v>
      </c>
      <c r="B65" s="338">
        <f>B61-B62-B63-B64</f>
        <v>2548384.92</v>
      </c>
      <c r="C65" s="338">
        <f t="shared" ref="C65:F65" si="0">C61-C62-C63-C64</f>
        <v>4295173.7300000004</v>
      </c>
      <c r="D65" s="338">
        <f t="shared" si="0"/>
        <v>4579425.26</v>
      </c>
      <c r="E65" s="338">
        <f t="shared" si="0"/>
        <v>4741892.3613959998</v>
      </c>
      <c r="F65" s="338">
        <f t="shared" si="0"/>
        <v>4869030.8086063415</v>
      </c>
      <c r="G65" s="339">
        <f>G61-G62-G63-G64</f>
        <v>4206781.4160004668</v>
      </c>
    </row>
    <row r="66" spans="1:8" x14ac:dyDescent="0.25">
      <c r="A66" s="462" t="s">
        <v>298</v>
      </c>
      <c r="B66" s="463"/>
      <c r="C66" s="463"/>
      <c r="D66" s="463"/>
      <c r="E66" s="463"/>
      <c r="F66" s="463"/>
      <c r="G66" s="341">
        <v>0.6</v>
      </c>
    </row>
    <row r="67" spans="1:8" x14ac:dyDescent="0.25">
      <c r="A67" s="464" t="s">
        <v>256</v>
      </c>
      <c r="B67" s="465"/>
      <c r="C67" s="465"/>
      <c r="D67" s="465"/>
      <c r="E67" s="465"/>
      <c r="F67" s="465"/>
      <c r="G67" s="343">
        <f>G66*G65</f>
        <v>2524068.8496002802</v>
      </c>
    </row>
    <row r="68" spans="1:8" ht="18.75" x14ac:dyDescent="0.25">
      <c r="A68" s="60" t="s">
        <v>378</v>
      </c>
      <c r="B68" s="63"/>
      <c r="C68" s="63"/>
      <c r="D68" s="63"/>
      <c r="E68" s="63"/>
      <c r="F68" s="63"/>
      <c r="G68" s="63"/>
    </row>
    <row r="69" spans="1:8" ht="18.75" x14ac:dyDescent="0.25">
      <c r="A69" s="272" t="s">
        <v>397</v>
      </c>
      <c r="B69" s="63"/>
      <c r="C69" s="63"/>
      <c r="D69" s="63"/>
      <c r="E69" s="63"/>
      <c r="F69" s="63"/>
      <c r="G69" s="63"/>
    </row>
    <row r="70" spans="1:8" ht="18.75" x14ac:dyDescent="0.25">
      <c r="A70" s="60" t="s">
        <v>395</v>
      </c>
      <c r="B70" s="63"/>
      <c r="C70" s="63"/>
      <c r="D70" s="63"/>
      <c r="E70" s="63"/>
      <c r="F70" s="63"/>
      <c r="G70" s="63"/>
    </row>
    <row r="72" spans="1:8" x14ac:dyDescent="0.25">
      <c r="G72" s="65"/>
      <c r="H72" s="67"/>
    </row>
    <row r="73" spans="1:8" x14ac:dyDescent="0.25">
      <c r="D73" s="60" t="s">
        <v>289</v>
      </c>
      <c r="G73" s="63">
        <f>'Fare Inputs'!$X$117</f>
        <v>2529427.75</v>
      </c>
    </row>
    <row r="74" spans="1:8" x14ac:dyDescent="0.25">
      <c r="D74" s="60" t="s">
        <v>105</v>
      </c>
      <c r="G74" s="459">
        <f>G73/G65</f>
        <v>0.60127387184400349</v>
      </c>
    </row>
    <row r="75" spans="1:8" x14ac:dyDescent="0.25">
      <c r="G75" s="97"/>
    </row>
    <row r="78" spans="1:8" x14ac:dyDescent="0.25">
      <c r="G78" s="65"/>
    </row>
  </sheetData>
  <mergeCells count="8">
    <mergeCell ref="G59:G60"/>
    <mergeCell ref="A66:F66"/>
    <mergeCell ref="A67:F67"/>
    <mergeCell ref="B6:C6"/>
    <mergeCell ref="E6:F6"/>
    <mergeCell ref="B59:C59"/>
    <mergeCell ref="E59:F59"/>
    <mergeCell ref="A58:G58"/>
  </mergeCells>
  <hyperlinks>
    <hyperlink ref="A56" r:id="rId1" xr:uid="{C121F248-51DC-4853-A94F-C391E1A81C54}"/>
  </hyperlinks>
  <pageMargins left="0.7" right="0.7" top="0.75" bottom="0.75" header="0.3" footer="0.3"/>
  <pageSetup scale="53" orientation="portrait" verticalDpi="4294967295"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C3074-BDBE-4192-88B4-462BA3860C4B}">
  <sheetPr>
    <pageSetUpPr fitToPage="1"/>
  </sheetPr>
  <dimension ref="A1:H51"/>
  <sheetViews>
    <sheetView topLeftCell="A6" workbookViewId="0">
      <selection activeCell="G26" sqref="G26"/>
    </sheetView>
  </sheetViews>
  <sheetFormatPr defaultColWidth="9" defaultRowHeight="15" x14ac:dyDescent="0.25"/>
  <cols>
    <col min="1" max="1" width="9" style="414"/>
    <col min="2" max="2" width="7.375" style="414" customWidth="1"/>
    <col min="3" max="3" width="8" style="414" hidden="1" customWidth="1"/>
    <col min="4" max="4" width="31" style="414" hidden="1" customWidth="1"/>
    <col min="5" max="5" width="38.375" style="414" customWidth="1"/>
    <col min="6" max="7" width="13.75" style="414" customWidth="1"/>
    <col min="8" max="8" width="10.75" style="414" customWidth="1"/>
    <col min="9" max="16384" width="9" style="414"/>
  </cols>
  <sheetData>
    <row r="1" spans="1:8" x14ac:dyDescent="0.25">
      <c r="A1" s="540" t="s">
        <v>457</v>
      </c>
      <c r="B1" s="541"/>
      <c r="C1" s="541"/>
      <c r="D1" s="541"/>
      <c r="E1" s="541"/>
      <c r="F1" s="541"/>
      <c r="G1" s="412"/>
      <c r="H1" s="413"/>
    </row>
    <row r="2" spans="1:8" x14ac:dyDescent="0.25">
      <c r="A2" s="542" t="s">
        <v>458</v>
      </c>
      <c r="B2" s="543"/>
      <c r="C2" s="543"/>
      <c r="D2" s="543"/>
      <c r="E2" s="543"/>
      <c r="F2" s="543"/>
      <c r="G2" s="415"/>
      <c r="H2" s="416"/>
    </row>
    <row r="3" spans="1:8" x14ac:dyDescent="0.25">
      <c r="A3" s="417"/>
      <c r="B3" s="544" t="s">
        <v>459</v>
      </c>
      <c r="C3" s="544"/>
      <c r="D3" s="544"/>
      <c r="E3" s="544"/>
      <c r="F3" s="418" t="s">
        <v>448</v>
      </c>
      <c r="G3" s="419" t="s">
        <v>475</v>
      </c>
      <c r="H3" s="420" t="s">
        <v>460</v>
      </c>
    </row>
    <row r="4" spans="1:8" ht="15.75" x14ac:dyDescent="0.25">
      <c r="A4" s="420"/>
      <c r="B4" s="544" t="s">
        <v>257</v>
      </c>
      <c r="C4" s="544"/>
      <c r="D4" s="544"/>
      <c r="E4" s="544"/>
      <c r="F4" s="421">
        <f>'Revenue Target Calculation'!C8</f>
        <v>1338537.0900000001</v>
      </c>
      <c r="G4" s="422">
        <v>1441153</v>
      </c>
      <c r="H4" s="423">
        <f>(F4-G4)/G4</f>
        <v>-7.1204035935115789E-2</v>
      </c>
    </row>
    <row r="5" spans="1:8" ht="15.75" x14ac:dyDescent="0.25">
      <c r="A5" s="420"/>
      <c r="B5" s="544" t="s">
        <v>258</v>
      </c>
      <c r="C5" s="544"/>
      <c r="D5" s="544"/>
      <c r="E5" s="544"/>
      <c r="F5" s="421">
        <v>482100.43</v>
      </c>
      <c r="G5" s="422">
        <v>530199</v>
      </c>
      <c r="H5" s="423">
        <f t="shared" ref="H5:H33" si="0">(F5-G5)/G5</f>
        <v>-9.0717956842619477E-2</v>
      </c>
    </row>
    <row r="6" spans="1:8" ht="15.75" x14ac:dyDescent="0.25">
      <c r="A6" s="420"/>
      <c r="B6" s="544" t="s">
        <v>461</v>
      </c>
      <c r="C6" s="544"/>
      <c r="D6" s="544"/>
      <c r="E6" s="544"/>
      <c r="F6" s="424">
        <f>SUM(F7:F10)</f>
        <v>282491.57</v>
      </c>
      <c r="G6" s="422">
        <f>SUM(G7:G10)</f>
        <v>445850</v>
      </c>
      <c r="H6" s="423">
        <f t="shared" si="0"/>
        <v>-0.36639773466412467</v>
      </c>
    </row>
    <row r="7" spans="1:8" ht="15.75" x14ac:dyDescent="0.25">
      <c r="A7" s="420"/>
      <c r="B7" s="417"/>
      <c r="C7" s="417"/>
      <c r="D7" s="417"/>
      <c r="E7" s="417" t="s">
        <v>265</v>
      </c>
      <c r="F7" s="424">
        <v>101972.34</v>
      </c>
      <c r="G7" s="422">
        <v>150000</v>
      </c>
      <c r="H7" s="423">
        <f t="shared" si="0"/>
        <v>-0.32018440000000004</v>
      </c>
    </row>
    <row r="8" spans="1:8" ht="15.75" x14ac:dyDescent="0.25">
      <c r="A8" s="420"/>
      <c r="B8" s="417"/>
      <c r="C8" s="417"/>
      <c r="D8" s="417"/>
      <c r="E8" s="417" t="s">
        <v>266</v>
      </c>
      <c r="F8" s="424">
        <v>159964.07999999999</v>
      </c>
      <c r="G8" s="422">
        <v>273850</v>
      </c>
      <c r="H8" s="423">
        <f t="shared" si="0"/>
        <v>-0.41586970969508857</v>
      </c>
    </row>
    <row r="9" spans="1:8" ht="15.75" x14ac:dyDescent="0.25">
      <c r="A9" s="420"/>
      <c r="B9" s="417"/>
      <c r="C9" s="417"/>
      <c r="D9" s="417"/>
      <c r="E9" s="417" t="s">
        <v>267</v>
      </c>
      <c r="F9" s="424">
        <v>54.23</v>
      </c>
      <c r="G9" s="422">
        <v>2000</v>
      </c>
      <c r="H9" s="423">
        <f t="shared" si="0"/>
        <v>-0.972885</v>
      </c>
    </row>
    <row r="10" spans="1:8" ht="15.75" x14ac:dyDescent="0.25">
      <c r="A10" s="420"/>
      <c r="B10" s="417"/>
      <c r="C10" s="417"/>
      <c r="D10" s="417"/>
      <c r="E10" s="417" t="s">
        <v>268</v>
      </c>
      <c r="F10" s="424">
        <v>20500.919999999998</v>
      </c>
      <c r="G10" s="422">
        <v>20000</v>
      </c>
      <c r="H10" s="423">
        <f t="shared" si="0"/>
        <v>2.5045999999999912E-2</v>
      </c>
    </row>
    <row r="11" spans="1:8" ht="15.75" x14ac:dyDescent="0.25">
      <c r="A11" s="420"/>
      <c r="B11" s="544" t="s">
        <v>462</v>
      </c>
      <c r="C11" s="544"/>
      <c r="D11" s="544"/>
      <c r="E11" s="544"/>
      <c r="F11" s="424">
        <f>SUM(F12:F28)</f>
        <v>2591008.81</v>
      </c>
      <c r="G11" s="422">
        <f>SUM(G12:G28)</f>
        <v>3183934</v>
      </c>
      <c r="H11" s="423">
        <f t="shared" si="0"/>
        <v>-0.18622408316252784</v>
      </c>
    </row>
    <row r="12" spans="1:8" ht="15.75" x14ac:dyDescent="0.25">
      <c r="A12" s="420"/>
      <c r="B12" s="417"/>
      <c r="C12" s="417"/>
      <c r="D12" s="417"/>
      <c r="E12" s="417" t="s">
        <v>261</v>
      </c>
      <c r="F12" s="424">
        <v>294086.65999999997</v>
      </c>
      <c r="G12" s="422">
        <v>310040</v>
      </c>
      <c r="H12" s="423">
        <f t="shared" si="0"/>
        <v>-5.1455747645465184E-2</v>
      </c>
    </row>
    <row r="13" spans="1:8" ht="15.75" x14ac:dyDescent="0.25">
      <c r="A13" s="420"/>
      <c r="B13" s="417"/>
      <c r="C13" s="417"/>
      <c r="D13" s="417"/>
      <c r="E13" s="417" t="s">
        <v>476</v>
      </c>
      <c r="F13" s="424">
        <v>663.7</v>
      </c>
      <c r="G13" s="422"/>
      <c r="H13" s="423"/>
    </row>
    <row r="14" spans="1:8" ht="15.75" x14ac:dyDescent="0.25">
      <c r="A14" s="420"/>
      <c r="B14" s="417"/>
      <c r="C14" s="417"/>
      <c r="D14" s="417"/>
      <c r="E14" s="417" t="s">
        <v>463</v>
      </c>
      <c r="F14" s="424">
        <f>'Revenue Target Calculation'!C18</f>
        <v>0</v>
      </c>
      <c r="G14" s="422">
        <v>12000</v>
      </c>
      <c r="H14" s="423">
        <f t="shared" si="0"/>
        <v>-1</v>
      </c>
    </row>
    <row r="15" spans="1:8" ht="15.75" x14ac:dyDescent="0.25">
      <c r="A15" s="420"/>
      <c r="B15" s="417"/>
      <c r="C15" s="417"/>
      <c r="D15" s="417"/>
      <c r="E15" s="417" t="s">
        <v>464</v>
      </c>
      <c r="F15" s="424">
        <v>13978.48</v>
      </c>
      <c r="G15" s="422"/>
      <c r="H15" s="423"/>
    </row>
    <row r="16" spans="1:8" ht="15.75" x14ac:dyDescent="0.25">
      <c r="A16" s="420"/>
      <c r="B16" s="417"/>
      <c r="C16" s="417"/>
      <c r="D16" s="417"/>
      <c r="E16" s="417" t="s">
        <v>465</v>
      </c>
      <c r="F16" s="424">
        <f>'Revenue Target Calculation'!C20</f>
        <v>33144.5</v>
      </c>
      <c r="G16" s="422">
        <v>35000</v>
      </c>
      <c r="H16" s="423">
        <f t="shared" si="0"/>
        <v>-5.3014285714285715E-2</v>
      </c>
    </row>
    <row r="17" spans="1:8" ht="15.75" x14ac:dyDescent="0.25">
      <c r="A17" s="420"/>
      <c r="B17" s="417"/>
      <c r="C17" s="417"/>
      <c r="D17" s="417"/>
      <c r="E17" s="417" t="s">
        <v>466</v>
      </c>
      <c r="F17" s="424">
        <v>98644.52</v>
      </c>
      <c r="G17" s="422">
        <v>85127</v>
      </c>
      <c r="H17" s="423">
        <f t="shared" si="0"/>
        <v>0.15879239254290653</v>
      </c>
    </row>
    <row r="18" spans="1:8" ht="15.75" x14ac:dyDescent="0.25">
      <c r="A18" s="420"/>
      <c r="B18" s="417"/>
      <c r="C18" s="417"/>
      <c r="D18" s="417"/>
      <c r="E18" s="417" t="s">
        <v>270</v>
      </c>
      <c r="F18" s="424">
        <v>11501.27</v>
      </c>
      <c r="G18" s="422">
        <v>10000</v>
      </c>
      <c r="H18" s="423">
        <f t="shared" si="0"/>
        <v>0.15012700000000004</v>
      </c>
    </row>
    <row r="19" spans="1:8" ht="15.75" x14ac:dyDescent="0.25">
      <c r="A19" s="420"/>
      <c r="B19" s="417"/>
      <c r="C19" s="417"/>
      <c r="D19" s="417"/>
      <c r="E19" s="417" t="s">
        <v>271</v>
      </c>
      <c r="F19" s="424">
        <f>'Revenue Target Calculation'!C23</f>
        <v>4989.5200000000004</v>
      </c>
      <c r="G19" s="422">
        <v>8018</v>
      </c>
      <c r="H19" s="423">
        <f t="shared" si="0"/>
        <v>-0.37771015215764525</v>
      </c>
    </row>
    <row r="20" spans="1:8" ht="15.75" x14ac:dyDescent="0.25">
      <c r="A20" s="420"/>
      <c r="B20" s="417"/>
      <c r="C20" s="417"/>
      <c r="D20" s="417"/>
      <c r="E20" s="417" t="s">
        <v>272</v>
      </c>
      <c r="F20" s="424">
        <f>'Revenue Target Calculation'!C24</f>
        <v>580.46</v>
      </c>
      <c r="G20" s="422">
        <v>500</v>
      </c>
      <c r="H20" s="423"/>
    </row>
    <row r="21" spans="1:8" ht="15.75" x14ac:dyDescent="0.25">
      <c r="A21" s="420"/>
      <c r="B21" s="417"/>
      <c r="C21" s="417"/>
      <c r="D21" s="417"/>
      <c r="E21" s="417" t="s">
        <v>273</v>
      </c>
      <c r="F21" s="424">
        <f>'Revenue Target Calculation'!C25</f>
        <v>731.68</v>
      </c>
      <c r="G21" s="422">
        <v>5000</v>
      </c>
      <c r="H21" s="423">
        <f t="shared" si="0"/>
        <v>-0.85366399999999998</v>
      </c>
    </row>
    <row r="22" spans="1:8" ht="15.75" x14ac:dyDescent="0.25">
      <c r="A22" s="420"/>
      <c r="B22" s="417"/>
      <c r="C22" s="417"/>
      <c r="D22" s="417"/>
      <c r="E22" s="417" t="s">
        <v>279</v>
      </c>
      <c r="F22" s="424">
        <f>'Revenue Target Calculation'!C26</f>
        <v>463803.5</v>
      </c>
      <c r="G22" s="422">
        <v>445300</v>
      </c>
      <c r="H22" s="423">
        <f t="shared" si="0"/>
        <v>4.1552885695037053E-2</v>
      </c>
    </row>
    <row r="23" spans="1:8" ht="15.75" x14ac:dyDescent="0.25">
      <c r="A23" s="420"/>
      <c r="B23" s="417"/>
      <c r="C23" s="417"/>
      <c r="D23" s="417"/>
      <c r="E23" s="417" t="s">
        <v>467</v>
      </c>
      <c r="F23" s="424">
        <f>'Revenue Target Calculation'!C27</f>
        <v>18472.77</v>
      </c>
      <c r="G23" s="422">
        <v>15000</v>
      </c>
      <c r="H23" s="423">
        <f t="shared" si="0"/>
        <v>0.23151800000000003</v>
      </c>
    </row>
    <row r="24" spans="1:8" ht="15.75" x14ac:dyDescent="0.25">
      <c r="A24" s="420"/>
      <c r="B24" s="417"/>
      <c r="C24" s="417"/>
      <c r="D24" s="417"/>
      <c r="E24" s="417" t="s">
        <v>274</v>
      </c>
      <c r="F24" s="424">
        <f>'Revenue Target Calculation'!C28</f>
        <v>99341</v>
      </c>
      <c r="G24" s="422">
        <v>376400</v>
      </c>
      <c r="H24" s="423">
        <f t="shared" si="0"/>
        <v>-0.73607598299681187</v>
      </c>
    </row>
    <row r="25" spans="1:8" ht="15.75" x14ac:dyDescent="0.25">
      <c r="A25" s="420"/>
      <c r="B25" s="417"/>
      <c r="C25" s="417"/>
      <c r="D25" s="417"/>
      <c r="E25" s="417" t="s">
        <v>275</v>
      </c>
      <c r="F25" s="424">
        <f>'Revenue Target Calculation'!C29</f>
        <v>38754.42</v>
      </c>
      <c r="G25" s="422">
        <v>35000</v>
      </c>
      <c r="H25" s="423">
        <f t="shared" si="0"/>
        <v>0.10726914285714281</v>
      </c>
    </row>
    <row r="26" spans="1:8" ht="15.75" x14ac:dyDescent="0.25">
      <c r="A26" s="420"/>
      <c r="B26" s="417"/>
      <c r="C26" s="417"/>
      <c r="D26" s="417"/>
      <c r="E26" s="417" t="s">
        <v>468</v>
      </c>
      <c r="F26" s="424">
        <f>'Revenue Target Calculation'!C30</f>
        <v>1433848.72</v>
      </c>
      <c r="G26" s="422">
        <v>1776549</v>
      </c>
      <c r="H26" s="423">
        <f t="shared" si="0"/>
        <v>-0.19290223911639928</v>
      </c>
    </row>
    <row r="27" spans="1:8" ht="15.75" x14ac:dyDescent="0.25">
      <c r="A27" s="420"/>
      <c r="B27" s="417"/>
      <c r="C27" s="417"/>
      <c r="D27" s="417"/>
      <c r="E27" s="417" t="s">
        <v>277</v>
      </c>
      <c r="F27" s="424">
        <f>'Revenue Target Calculation'!C31</f>
        <v>17451.5</v>
      </c>
      <c r="G27" s="422">
        <v>5000</v>
      </c>
      <c r="H27" s="423">
        <f t="shared" si="0"/>
        <v>2.4903</v>
      </c>
    </row>
    <row r="28" spans="1:8" ht="15.75" x14ac:dyDescent="0.25">
      <c r="A28" s="420"/>
      <c r="B28" s="417"/>
      <c r="C28" s="417"/>
      <c r="D28" s="417"/>
      <c r="E28" s="417" t="s">
        <v>278</v>
      </c>
      <c r="F28" s="424">
        <v>61016.11</v>
      </c>
      <c r="G28" s="422">
        <v>65000</v>
      </c>
      <c r="H28" s="423">
        <f t="shared" si="0"/>
        <v>-6.1290615384615374E-2</v>
      </c>
    </row>
    <row r="29" spans="1:8" ht="15.75" x14ac:dyDescent="0.25">
      <c r="A29" s="420"/>
      <c r="B29" s="544"/>
      <c r="C29" s="544"/>
      <c r="D29" s="544"/>
      <c r="E29" s="425" t="s">
        <v>469</v>
      </c>
      <c r="F29" s="422">
        <f t="shared" ref="F29:G29" si="1">F4+F5+F6+F11</f>
        <v>4694137.9000000004</v>
      </c>
      <c r="G29" s="422">
        <f t="shared" si="1"/>
        <v>5601136</v>
      </c>
      <c r="H29" s="423">
        <f t="shared" si="0"/>
        <v>-0.1619310975487829</v>
      </c>
    </row>
    <row r="30" spans="1:8" ht="15.75" x14ac:dyDescent="0.25">
      <c r="A30" s="420"/>
      <c r="B30" s="544" t="s">
        <v>470</v>
      </c>
      <c r="C30" s="544"/>
      <c r="D30" s="544"/>
      <c r="E30" s="544"/>
      <c r="F30" s="426">
        <f>F31+F32</f>
        <v>1330090.1499999999</v>
      </c>
      <c r="G30" s="426">
        <f>G31+G32</f>
        <v>1543083</v>
      </c>
      <c r="H30" s="423">
        <f t="shared" si="0"/>
        <v>-0.13803071513327544</v>
      </c>
    </row>
    <row r="31" spans="1:8" ht="15.75" x14ac:dyDescent="0.25">
      <c r="A31" s="420"/>
      <c r="B31" s="417"/>
      <c r="C31" s="417"/>
      <c r="D31" s="417"/>
      <c r="E31" s="417" t="s">
        <v>471</v>
      </c>
      <c r="F31" s="426"/>
      <c r="G31" s="426">
        <v>200000</v>
      </c>
      <c r="H31" s="423"/>
    </row>
    <row r="32" spans="1:8" ht="15.75" x14ac:dyDescent="0.25">
      <c r="A32" s="420"/>
      <c r="B32" s="417"/>
      <c r="C32" s="417"/>
      <c r="D32" s="417"/>
      <c r="E32" s="417" t="s">
        <v>472</v>
      </c>
      <c r="F32" s="426">
        <v>1330090.1499999999</v>
      </c>
      <c r="G32" s="426">
        <v>1343083</v>
      </c>
      <c r="H32" s="423">
        <f t="shared" si="0"/>
        <v>-9.6738995281751717E-3</v>
      </c>
    </row>
    <row r="33" spans="1:8" ht="17.25" x14ac:dyDescent="0.25">
      <c r="A33" s="420"/>
      <c r="B33" s="544"/>
      <c r="C33" s="544"/>
      <c r="D33" s="544"/>
      <c r="E33" s="425" t="s">
        <v>473</v>
      </c>
      <c r="F33" s="422">
        <f>F29+F32</f>
        <v>6024228.0500000007</v>
      </c>
      <c r="G33" s="422">
        <f>G29+G30</f>
        <v>7144219</v>
      </c>
      <c r="H33" s="423">
        <f t="shared" si="0"/>
        <v>-0.15676884345230727</v>
      </c>
    </row>
    <row r="34" spans="1:8" ht="15.75" x14ac:dyDescent="0.25">
      <c r="B34" s="538"/>
      <c r="C34" s="538"/>
      <c r="D34" s="538"/>
      <c r="E34" s="538"/>
      <c r="F34" s="427"/>
      <c r="G34" s="427"/>
    </row>
    <row r="35" spans="1:8" x14ac:dyDescent="0.25">
      <c r="B35" s="539" t="s">
        <v>474</v>
      </c>
      <c r="C35" s="539"/>
      <c r="D35" s="539"/>
      <c r="E35" s="539"/>
      <c r="F35" s="539"/>
      <c r="G35" s="428"/>
    </row>
    <row r="36" spans="1:8" ht="15.75" x14ac:dyDescent="0.25">
      <c r="B36" s="538" t="s">
        <v>257</v>
      </c>
      <c r="C36" s="538"/>
      <c r="D36" s="538"/>
      <c r="E36" s="538"/>
      <c r="F36" s="427">
        <f>F4/F33</f>
        <v>0.22219230063841955</v>
      </c>
      <c r="G36" s="427"/>
    </row>
    <row r="37" spans="1:8" ht="15.75" x14ac:dyDescent="0.25">
      <c r="B37" s="538" t="s">
        <v>258</v>
      </c>
      <c r="C37" s="538"/>
      <c r="D37" s="538"/>
      <c r="E37" s="538"/>
      <c r="F37" s="427">
        <f>F5/F33</f>
        <v>8.0026922287578392E-2</v>
      </c>
      <c r="G37" s="429"/>
    </row>
    <row r="38" spans="1:8" ht="15.75" x14ac:dyDescent="0.25">
      <c r="B38" s="538" t="s">
        <v>461</v>
      </c>
      <c r="C38" s="538"/>
      <c r="D38" s="538"/>
      <c r="E38" s="538"/>
      <c r="F38" s="427">
        <f>F6/F33</f>
        <v>4.6892575721797246E-2</v>
      </c>
      <c r="G38" s="427"/>
    </row>
    <row r="39" spans="1:8" ht="15.75" x14ac:dyDescent="0.25">
      <c r="B39" s="538" t="s">
        <v>462</v>
      </c>
      <c r="C39" s="538"/>
      <c r="D39" s="538"/>
      <c r="E39" s="538"/>
      <c r="F39" s="427">
        <f>F11/F33</f>
        <v>0.43009806210772511</v>
      </c>
      <c r="G39" s="427"/>
    </row>
    <row r="40" spans="1:8" ht="15.75" x14ac:dyDescent="0.25">
      <c r="B40" s="538" t="s">
        <v>470</v>
      </c>
      <c r="C40" s="538"/>
      <c r="D40" s="538"/>
      <c r="E40" s="538"/>
      <c r="F40" s="427">
        <f>F30/F33</f>
        <v>0.2207901392444796</v>
      </c>
      <c r="G40" s="427"/>
    </row>
    <row r="41" spans="1:8" x14ac:dyDescent="0.25">
      <c r="E41" s="430" t="s">
        <v>56</v>
      </c>
      <c r="F41" s="431">
        <f>SUM(F36:F40)</f>
        <v>0.99999999999999978</v>
      </c>
      <c r="G41" s="431"/>
    </row>
    <row r="45" spans="1:8" x14ac:dyDescent="0.25">
      <c r="A45" s="432"/>
    </row>
    <row r="46" spans="1:8" x14ac:dyDescent="0.25">
      <c r="A46" s="432"/>
      <c r="B46" s="432"/>
      <c r="C46" s="432"/>
      <c r="D46" s="432"/>
      <c r="E46" s="432"/>
      <c r="F46" s="432"/>
      <c r="G46" s="432"/>
    </row>
    <row r="47" spans="1:8" x14ac:dyDescent="0.25">
      <c r="A47" s="432"/>
      <c r="B47" s="432"/>
      <c r="C47" s="432"/>
      <c r="D47" s="432"/>
      <c r="E47" s="432"/>
      <c r="F47" s="432"/>
      <c r="G47" s="432"/>
    </row>
    <row r="48" spans="1:8" x14ac:dyDescent="0.25">
      <c r="A48" s="432"/>
      <c r="B48" s="432"/>
      <c r="C48" s="432"/>
      <c r="D48" s="432"/>
      <c r="E48" s="432"/>
      <c r="F48" s="432"/>
      <c r="G48" s="432"/>
    </row>
    <row r="49" spans="1:7" x14ac:dyDescent="0.25">
      <c r="B49" s="432"/>
      <c r="C49" s="432"/>
      <c r="D49" s="432"/>
      <c r="E49" s="432"/>
      <c r="F49" s="432"/>
      <c r="G49" s="432"/>
    </row>
    <row r="51" spans="1:7" x14ac:dyDescent="0.25">
      <c r="A51" s="433" t="s">
        <v>480</v>
      </c>
    </row>
  </sheetData>
  <mergeCells count="17">
    <mergeCell ref="B35:F35"/>
    <mergeCell ref="A1:F1"/>
    <mergeCell ref="A2:F2"/>
    <mergeCell ref="B3:E3"/>
    <mergeCell ref="B4:E4"/>
    <mergeCell ref="B5:E5"/>
    <mergeCell ref="B6:E6"/>
    <mergeCell ref="B11:E11"/>
    <mergeCell ref="B29:D29"/>
    <mergeCell ref="B30:E30"/>
    <mergeCell ref="B33:D33"/>
    <mergeCell ref="B34:E34"/>
    <mergeCell ref="B36:E36"/>
    <mergeCell ref="B37:E37"/>
    <mergeCell ref="B38:E38"/>
    <mergeCell ref="B39:E39"/>
    <mergeCell ref="B40:E40"/>
  </mergeCells>
  <pageMargins left="0.7" right="0.7" top="0.25" bottom="0.25" header="0.3" footer="0.3"/>
  <pageSetup scale="86" orientation="portrait" cellComments="atEnd"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502CA-1C26-4FD8-A386-1ED432583C2B}">
  <sheetPr>
    <pageSetUpPr fitToPage="1"/>
  </sheetPr>
  <dimension ref="A1:N59"/>
  <sheetViews>
    <sheetView zoomScaleNormal="100" workbookViewId="0">
      <pane xSplit="1" ySplit="3" topLeftCell="B4" activePane="bottomRight" state="frozen"/>
      <selection pane="topRight" activeCell="B1" sqref="B1"/>
      <selection pane="bottomLeft" activeCell="A4" sqref="A4"/>
      <selection pane="bottomRight" activeCell="Q56" sqref="Q56"/>
    </sheetView>
  </sheetViews>
  <sheetFormatPr defaultColWidth="10" defaultRowHeight="15" x14ac:dyDescent="0.2"/>
  <cols>
    <col min="1" max="1" width="44" style="123" customWidth="1"/>
    <col min="2" max="13" width="10" style="123" customWidth="1"/>
    <col min="14" max="16384" width="10" style="123"/>
  </cols>
  <sheetData>
    <row r="1" spans="1:14" ht="15.75" x14ac:dyDescent="0.2">
      <c r="A1" s="122" t="s">
        <v>208</v>
      </c>
    </row>
    <row r="2" spans="1:14" x14ac:dyDescent="0.2">
      <c r="A2" s="124"/>
      <c r="I2" s="125"/>
    </row>
    <row r="3" spans="1:14" x14ac:dyDescent="0.2">
      <c r="A3" s="124"/>
      <c r="B3" s="126" t="s">
        <v>155</v>
      </c>
      <c r="C3" s="127" t="s">
        <v>156</v>
      </c>
      <c r="D3" s="127" t="s">
        <v>157</v>
      </c>
      <c r="E3" s="127" t="s">
        <v>158</v>
      </c>
      <c r="F3" s="127" t="s">
        <v>159</v>
      </c>
      <c r="G3" s="127" t="s">
        <v>160</v>
      </c>
      <c r="H3" s="127" t="s">
        <v>161</v>
      </c>
      <c r="I3" s="127" t="s">
        <v>162</v>
      </c>
      <c r="J3" s="127" t="s">
        <v>163</v>
      </c>
      <c r="K3" s="127" t="s">
        <v>164</v>
      </c>
      <c r="L3" s="127" t="s">
        <v>165</v>
      </c>
      <c r="M3" s="127" t="s">
        <v>166</v>
      </c>
      <c r="N3" s="128" t="s">
        <v>167</v>
      </c>
    </row>
    <row r="4" spans="1:14" s="132" customFormat="1" ht="15" customHeight="1" x14ac:dyDescent="0.2">
      <c r="A4" s="172" t="s">
        <v>209</v>
      </c>
      <c r="B4" s="172">
        <v>85</v>
      </c>
      <c r="C4" s="172">
        <v>45</v>
      </c>
      <c r="D4" s="172">
        <v>55</v>
      </c>
      <c r="E4" s="172">
        <v>35</v>
      </c>
      <c r="F4" s="172">
        <v>100</v>
      </c>
      <c r="G4" s="172">
        <v>50</v>
      </c>
      <c r="H4" s="172">
        <v>110</v>
      </c>
      <c r="I4" s="173">
        <v>115</v>
      </c>
      <c r="J4" s="174">
        <v>110</v>
      </c>
      <c r="K4" s="174">
        <v>95</v>
      </c>
      <c r="L4" s="174">
        <v>65</v>
      </c>
      <c r="M4" s="174">
        <v>110</v>
      </c>
      <c r="N4" s="175">
        <f t="shared" ref="N4:N43" si="0">SUM(B4:M4)</f>
        <v>975</v>
      </c>
    </row>
    <row r="5" spans="1:14" s="132" customFormat="1" ht="15" customHeight="1" x14ac:dyDescent="0.2">
      <c r="A5" s="172" t="s">
        <v>210</v>
      </c>
      <c r="B5" s="172">
        <v>15</v>
      </c>
      <c r="C5" s="172">
        <v>10</v>
      </c>
      <c r="D5" s="172">
        <v>30</v>
      </c>
      <c r="E5" s="172">
        <v>15</v>
      </c>
      <c r="F5" s="172">
        <v>55</v>
      </c>
      <c r="G5" s="172">
        <v>0</v>
      </c>
      <c r="H5" s="172">
        <v>0</v>
      </c>
      <c r="I5" s="173">
        <v>0</v>
      </c>
      <c r="J5" s="174">
        <v>0</v>
      </c>
      <c r="K5" s="174">
        <v>30</v>
      </c>
      <c r="L5" s="174">
        <v>40</v>
      </c>
      <c r="M5" s="174">
        <v>55</v>
      </c>
      <c r="N5" s="175">
        <f t="shared" si="0"/>
        <v>250</v>
      </c>
    </row>
    <row r="6" spans="1:14" s="132" customFormat="1" ht="15" customHeight="1" x14ac:dyDescent="0.2">
      <c r="A6" s="172" t="s">
        <v>211</v>
      </c>
      <c r="B6" s="172">
        <v>0</v>
      </c>
      <c r="C6" s="172">
        <v>0</v>
      </c>
      <c r="D6" s="172">
        <v>20</v>
      </c>
      <c r="E6" s="172">
        <v>5</v>
      </c>
      <c r="F6" s="172">
        <v>20</v>
      </c>
      <c r="G6" s="172">
        <v>25</v>
      </c>
      <c r="H6" s="172">
        <v>65</v>
      </c>
      <c r="I6" s="173">
        <v>15</v>
      </c>
      <c r="J6" s="174">
        <v>65</v>
      </c>
      <c r="K6" s="174">
        <v>20</v>
      </c>
      <c r="L6" s="174">
        <v>15</v>
      </c>
      <c r="M6" s="174">
        <v>10</v>
      </c>
      <c r="N6" s="175">
        <f t="shared" si="0"/>
        <v>260</v>
      </c>
    </row>
    <row r="7" spans="1:14" s="132" customFormat="1" ht="15" customHeight="1" x14ac:dyDescent="0.2">
      <c r="A7" s="172" t="s">
        <v>212</v>
      </c>
      <c r="B7" s="172">
        <v>0</v>
      </c>
      <c r="C7" s="172">
        <v>20</v>
      </c>
      <c r="D7" s="172">
        <v>30</v>
      </c>
      <c r="E7" s="172">
        <v>40</v>
      </c>
      <c r="F7" s="172">
        <v>30</v>
      </c>
      <c r="G7" s="172">
        <v>0</v>
      </c>
      <c r="H7" s="172">
        <v>0</v>
      </c>
      <c r="I7" s="173">
        <v>0</v>
      </c>
      <c r="J7" s="174">
        <v>0</v>
      </c>
      <c r="K7" s="174">
        <v>35</v>
      </c>
      <c r="L7" s="174">
        <v>10</v>
      </c>
      <c r="M7" s="174">
        <v>45</v>
      </c>
      <c r="N7" s="175">
        <f t="shared" si="0"/>
        <v>210</v>
      </c>
    </row>
    <row r="8" spans="1:14" s="132" customFormat="1" ht="15" customHeight="1" x14ac:dyDescent="0.2">
      <c r="A8" s="172" t="s">
        <v>213</v>
      </c>
      <c r="B8" s="172">
        <v>5</v>
      </c>
      <c r="C8" s="172">
        <v>0</v>
      </c>
      <c r="D8" s="172">
        <v>5</v>
      </c>
      <c r="E8" s="172">
        <v>0</v>
      </c>
      <c r="F8" s="172">
        <v>0</v>
      </c>
      <c r="G8" s="172">
        <v>15</v>
      </c>
      <c r="H8" s="172">
        <v>0</v>
      </c>
      <c r="I8" s="173">
        <v>0</v>
      </c>
      <c r="J8" s="174">
        <v>10</v>
      </c>
      <c r="K8" s="174">
        <v>10</v>
      </c>
      <c r="L8" s="174">
        <v>0</v>
      </c>
      <c r="M8" s="174">
        <v>0</v>
      </c>
      <c r="N8" s="175">
        <f t="shared" si="0"/>
        <v>45</v>
      </c>
    </row>
    <row r="9" spans="1:14" s="132" customFormat="1" ht="15" customHeight="1" x14ac:dyDescent="0.2">
      <c r="A9" s="172" t="s">
        <v>214</v>
      </c>
      <c r="B9" s="172">
        <v>5</v>
      </c>
      <c r="C9" s="172">
        <v>0</v>
      </c>
      <c r="D9" s="172">
        <v>10</v>
      </c>
      <c r="E9" s="172">
        <v>0</v>
      </c>
      <c r="F9" s="172">
        <v>0</v>
      </c>
      <c r="G9" s="172">
        <v>0</v>
      </c>
      <c r="H9" s="172">
        <v>0</v>
      </c>
      <c r="I9" s="173">
        <v>0</v>
      </c>
      <c r="J9" s="174">
        <v>0</v>
      </c>
      <c r="K9" s="174">
        <v>0</v>
      </c>
      <c r="L9" s="174">
        <v>10</v>
      </c>
      <c r="M9" s="174">
        <v>0</v>
      </c>
      <c r="N9" s="175">
        <f t="shared" si="0"/>
        <v>25</v>
      </c>
    </row>
    <row r="10" spans="1:14" s="132" customFormat="1" ht="15" customHeight="1" x14ac:dyDescent="0.2">
      <c r="A10" s="172" t="s">
        <v>215</v>
      </c>
      <c r="B10" s="172">
        <v>5</v>
      </c>
      <c r="C10" s="172">
        <v>0</v>
      </c>
      <c r="D10" s="172">
        <v>5</v>
      </c>
      <c r="E10" s="172">
        <v>0</v>
      </c>
      <c r="F10" s="172">
        <v>0</v>
      </c>
      <c r="G10" s="172">
        <v>0</v>
      </c>
      <c r="H10" s="172">
        <v>10</v>
      </c>
      <c r="I10" s="173">
        <v>0</v>
      </c>
      <c r="J10" s="174">
        <v>0</v>
      </c>
      <c r="K10" s="174">
        <v>0</v>
      </c>
      <c r="L10" s="174">
        <v>0</v>
      </c>
      <c r="M10" s="174">
        <v>0</v>
      </c>
      <c r="N10" s="175">
        <f t="shared" si="0"/>
        <v>20</v>
      </c>
    </row>
    <row r="11" spans="1:14" s="132" customFormat="1" ht="15" customHeight="1" x14ac:dyDescent="0.2">
      <c r="A11" s="172" t="s">
        <v>216</v>
      </c>
      <c r="B11" s="172">
        <v>0</v>
      </c>
      <c r="C11" s="172">
        <v>0</v>
      </c>
      <c r="D11" s="172">
        <v>0</v>
      </c>
      <c r="E11" s="172">
        <v>0</v>
      </c>
      <c r="F11" s="172">
        <v>0</v>
      </c>
      <c r="G11" s="172">
        <v>0</v>
      </c>
      <c r="H11" s="172">
        <v>0</v>
      </c>
      <c r="I11" s="173">
        <v>0</v>
      </c>
      <c r="J11" s="174">
        <v>0</v>
      </c>
      <c r="K11" s="174">
        <v>0</v>
      </c>
      <c r="L11" s="174">
        <v>0</v>
      </c>
      <c r="M11" s="174">
        <v>0</v>
      </c>
      <c r="N11" s="175">
        <f t="shared" si="0"/>
        <v>0</v>
      </c>
    </row>
    <row r="12" spans="1:14" s="132" customFormat="1" ht="15" customHeight="1" x14ac:dyDescent="0.2">
      <c r="A12" s="164" t="s">
        <v>189</v>
      </c>
      <c r="B12" s="164">
        <v>20</v>
      </c>
      <c r="C12" s="164">
        <v>25</v>
      </c>
      <c r="D12" s="164">
        <v>10</v>
      </c>
      <c r="E12" s="164">
        <v>15</v>
      </c>
      <c r="F12" s="164">
        <v>25</v>
      </c>
      <c r="G12" s="164">
        <v>15</v>
      </c>
      <c r="H12" s="164">
        <v>20</v>
      </c>
      <c r="I12" s="165">
        <v>0</v>
      </c>
      <c r="J12" s="166">
        <v>35</v>
      </c>
      <c r="K12" s="166">
        <v>30</v>
      </c>
      <c r="L12" s="166">
        <v>5</v>
      </c>
      <c r="M12" s="166">
        <v>20</v>
      </c>
      <c r="N12" s="167">
        <f t="shared" si="0"/>
        <v>220</v>
      </c>
    </row>
    <row r="13" spans="1:14" s="132" customFormat="1" ht="15" customHeight="1" x14ac:dyDescent="0.2">
      <c r="A13" s="154" t="s">
        <v>186</v>
      </c>
      <c r="B13" s="155">
        <v>1120</v>
      </c>
      <c r="C13" s="156">
        <v>1580</v>
      </c>
      <c r="D13" s="156">
        <v>2100</v>
      </c>
      <c r="E13" s="156">
        <v>1660</v>
      </c>
      <c r="F13" s="156">
        <v>1800</v>
      </c>
      <c r="G13" s="156">
        <v>1480</v>
      </c>
      <c r="H13" s="156">
        <v>1680</v>
      </c>
      <c r="I13" s="156">
        <v>1720</v>
      </c>
      <c r="J13" s="156">
        <v>1660</v>
      </c>
      <c r="K13" s="156">
        <v>1440</v>
      </c>
      <c r="L13" s="156">
        <v>1480</v>
      </c>
      <c r="M13" s="156">
        <v>2000</v>
      </c>
      <c r="N13" s="156">
        <f t="shared" si="0"/>
        <v>19720</v>
      </c>
    </row>
    <row r="14" spans="1:14" s="132" customFormat="1" ht="15" customHeight="1" x14ac:dyDescent="0.2">
      <c r="A14" s="151" t="s">
        <v>188</v>
      </c>
      <c r="B14" s="152">
        <v>0</v>
      </c>
      <c r="C14" s="153">
        <v>80</v>
      </c>
      <c r="D14" s="153">
        <v>40</v>
      </c>
      <c r="E14" s="153">
        <v>60</v>
      </c>
      <c r="F14" s="153">
        <v>80</v>
      </c>
      <c r="G14" s="153">
        <v>60</v>
      </c>
      <c r="H14" s="153">
        <v>80</v>
      </c>
      <c r="I14" s="179">
        <v>0</v>
      </c>
      <c r="J14" s="153">
        <v>60</v>
      </c>
      <c r="K14" s="153">
        <v>20</v>
      </c>
      <c r="L14" s="153">
        <v>40</v>
      </c>
      <c r="M14" s="153">
        <v>60</v>
      </c>
      <c r="N14" s="153">
        <f t="shared" si="0"/>
        <v>580</v>
      </c>
    </row>
    <row r="15" spans="1:14" s="132" customFormat="1" ht="15" customHeight="1" x14ac:dyDescent="0.2">
      <c r="A15" s="157" t="s">
        <v>187</v>
      </c>
      <c r="B15" s="158">
        <v>1540</v>
      </c>
      <c r="C15" s="159">
        <v>2580</v>
      </c>
      <c r="D15" s="159">
        <v>2740</v>
      </c>
      <c r="E15" s="159">
        <v>3140</v>
      </c>
      <c r="F15" s="159">
        <v>2540</v>
      </c>
      <c r="G15" s="159">
        <v>2900</v>
      </c>
      <c r="H15" s="159">
        <v>2100</v>
      </c>
      <c r="I15" s="159">
        <v>2260</v>
      </c>
      <c r="J15" s="159">
        <v>2220</v>
      </c>
      <c r="K15" s="159">
        <v>2080</v>
      </c>
      <c r="L15" s="159">
        <v>1800</v>
      </c>
      <c r="M15" s="159">
        <v>3280</v>
      </c>
      <c r="N15" s="159">
        <f t="shared" si="0"/>
        <v>29180</v>
      </c>
    </row>
    <row r="16" spans="1:14" s="132" customFormat="1" ht="15" customHeight="1" x14ac:dyDescent="0.2">
      <c r="A16" s="137" t="s">
        <v>217</v>
      </c>
      <c r="B16" s="138">
        <v>0</v>
      </c>
      <c r="C16" s="139">
        <v>0</v>
      </c>
      <c r="D16" s="139">
        <v>0</v>
      </c>
      <c r="E16" s="139">
        <v>0</v>
      </c>
      <c r="F16" s="139">
        <v>45</v>
      </c>
      <c r="G16" s="139">
        <v>191</v>
      </c>
      <c r="H16" s="139">
        <v>417</v>
      </c>
      <c r="I16" s="139">
        <v>324</v>
      </c>
      <c r="J16" s="139">
        <v>217</v>
      </c>
      <c r="K16" s="139">
        <v>0</v>
      </c>
      <c r="L16" s="139">
        <v>0</v>
      </c>
      <c r="M16" s="139">
        <v>0</v>
      </c>
      <c r="N16" s="139">
        <f t="shared" si="0"/>
        <v>1194</v>
      </c>
    </row>
    <row r="17" spans="1:14" s="132" customFormat="1" ht="15" customHeight="1" x14ac:dyDescent="0.2">
      <c r="A17" s="137" t="s">
        <v>218</v>
      </c>
      <c r="B17" s="138">
        <v>13</v>
      </c>
      <c r="C17" s="139">
        <v>31</v>
      </c>
      <c r="D17" s="139">
        <v>65</v>
      </c>
      <c r="E17" s="139">
        <v>78</v>
      </c>
      <c r="F17" s="139">
        <v>110</v>
      </c>
      <c r="G17" s="139">
        <v>0</v>
      </c>
      <c r="H17" s="139">
        <v>0</v>
      </c>
      <c r="I17" s="139">
        <v>0</v>
      </c>
      <c r="J17" s="139">
        <v>0</v>
      </c>
      <c r="K17" s="139">
        <v>89</v>
      </c>
      <c r="L17" s="139">
        <v>30</v>
      </c>
      <c r="M17" s="139">
        <v>24</v>
      </c>
      <c r="N17" s="139">
        <f t="shared" si="0"/>
        <v>440</v>
      </c>
    </row>
    <row r="18" spans="1:14" s="132" customFormat="1" ht="15" customHeight="1" x14ac:dyDescent="0.2">
      <c r="A18" s="180" t="s">
        <v>219</v>
      </c>
      <c r="B18" s="181">
        <v>1550</v>
      </c>
      <c r="C18" s="182">
        <v>1350</v>
      </c>
      <c r="D18" s="182">
        <v>1650</v>
      </c>
      <c r="E18" s="182">
        <v>1600</v>
      </c>
      <c r="F18" s="182">
        <v>1700</v>
      </c>
      <c r="G18" s="182">
        <v>2000</v>
      </c>
      <c r="H18" s="182">
        <v>2050</v>
      </c>
      <c r="I18" s="182">
        <v>1775</v>
      </c>
      <c r="J18" s="182">
        <v>1500</v>
      </c>
      <c r="K18" s="182">
        <v>1650</v>
      </c>
      <c r="L18" s="182">
        <v>1475</v>
      </c>
      <c r="M18" s="182">
        <v>2375</v>
      </c>
      <c r="N18" s="182">
        <f t="shared" si="0"/>
        <v>20675</v>
      </c>
    </row>
    <row r="19" spans="1:14" s="132" customFormat="1" ht="15" customHeight="1" x14ac:dyDescent="0.2">
      <c r="A19" s="180" t="s">
        <v>220</v>
      </c>
      <c r="B19" s="181">
        <v>0</v>
      </c>
      <c r="C19" s="182">
        <v>0</v>
      </c>
      <c r="D19" s="182">
        <v>0</v>
      </c>
      <c r="E19" s="182">
        <v>0</v>
      </c>
      <c r="F19" s="182">
        <v>998</v>
      </c>
      <c r="G19" s="182">
        <v>2762</v>
      </c>
      <c r="H19" s="182">
        <v>4902</v>
      </c>
      <c r="I19" s="182">
        <v>4114</v>
      </c>
      <c r="J19" s="182">
        <v>2480</v>
      </c>
      <c r="K19" s="182">
        <v>1</v>
      </c>
      <c r="L19" s="182">
        <v>0</v>
      </c>
      <c r="M19" s="182">
        <v>0</v>
      </c>
      <c r="N19" s="182">
        <f t="shared" si="0"/>
        <v>15257</v>
      </c>
    </row>
    <row r="20" spans="1:14" s="132" customFormat="1" ht="15" customHeight="1" x14ac:dyDescent="0.2">
      <c r="A20" s="180" t="s">
        <v>221</v>
      </c>
      <c r="B20" s="181">
        <v>965</v>
      </c>
      <c r="C20" s="182">
        <v>1260</v>
      </c>
      <c r="D20" s="182">
        <v>1595</v>
      </c>
      <c r="E20" s="182">
        <v>1765</v>
      </c>
      <c r="F20" s="182">
        <v>1505</v>
      </c>
      <c r="G20" s="182">
        <v>0</v>
      </c>
      <c r="H20" s="182">
        <v>0</v>
      </c>
      <c r="I20" s="182">
        <v>0</v>
      </c>
      <c r="J20" s="182">
        <v>0</v>
      </c>
      <c r="K20" s="182">
        <v>2089</v>
      </c>
      <c r="L20" s="182">
        <v>1794</v>
      </c>
      <c r="M20" s="182">
        <v>1817</v>
      </c>
      <c r="N20" s="182">
        <f t="shared" si="0"/>
        <v>12790</v>
      </c>
    </row>
    <row r="21" spans="1:14" s="132" customFormat="1" ht="15" customHeight="1" x14ac:dyDescent="0.2">
      <c r="A21" s="154" t="s">
        <v>222</v>
      </c>
      <c r="B21" s="155">
        <v>0</v>
      </c>
      <c r="C21" s="156">
        <v>0</v>
      </c>
      <c r="D21" s="156">
        <v>0</v>
      </c>
      <c r="E21" s="156">
        <v>0</v>
      </c>
      <c r="F21" s="156">
        <v>1107</v>
      </c>
      <c r="G21" s="156">
        <v>2739</v>
      </c>
      <c r="H21" s="156">
        <v>3713</v>
      </c>
      <c r="I21" s="156">
        <v>3646</v>
      </c>
      <c r="J21" s="156">
        <v>2682</v>
      </c>
      <c r="K21" s="156">
        <v>1</v>
      </c>
      <c r="L21" s="156">
        <v>0</v>
      </c>
      <c r="M21" s="156">
        <v>0</v>
      </c>
      <c r="N21" s="156">
        <f t="shared" si="0"/>
        <v>13888</v>
      </c>
    </row>
    <row r="22" spans="1:14" s="132" customFormat="1" ht="15" customHeight="1" x14ac:dyDescent="0.2">
      <c r="A22" s="154" t="s">
        <v>223</v>
      </c>
      <c r="B22" s="155">
        <v>1094</v>
      </c>
      <c r="C22" s="156">
        <v>1688</v>
      </c>
      <c r="D22" s="156">
        <v>2107</v>
      </c>
      <c r="E22" s="156">
        <v>2331</v>
      </c>
      <c r="F22" s="156">
        <v>1610</v>
      </c>
      <c r="G22" s="156">
        <v>3</v>
      </c>
      <c r="H22" s="156">
        <v>0</v>
      </c>
      <c r="I22" s="156">
        <v>0</v>
      </c>
      <c r="J22" s="156">
        <v>0</v>
      </c>
      <c r="K22" s="156">
        <v>2472</v>
      </c>
      <c r="L22" s="156">
        <v>2472</v>
      </c>
      <c r="M22" s="156">
        <v>2140</v>
      </c>
      <c r="N22" s="156">
        <f t="shared" si="0"/>
        <v>15917</v>
      </c>
    </row>
    <row r="23" spans="1:14" s="132" customFormat="1" ht="15" customHeight="1" x14ac:dyDescent="0.2">
      <c r="A23" s="168" t="s">
        <v>224</v>
      </c>
      <c r="B23" s="169">
        <v>2</v>
      </c>
      <c r="C23" s="170">
        <v>7</v>
      </c>
      <c r="D23" s="170">
        <v>6</v>
      </c>
      <c r="E23" s="170">
        <v>2</v>
      </c>
      <c r="F23" s="170">
        <v>3</v>
      </c>
      <c r="G23" s="170">
        <v>9</v>
      </c>
      <c r="H23" s="170">
        <v>2</v>
      </c>
      <c r="I23" s="170">
        <v>3</v>
      </c>
      <c r="J23" s="170">
        <v>2</v>
      </c>
      <c r="K23" s="170">
        <v>4</v>
      </c>
      <c r="L23" s="170">
        <v>1</v>
      </c>
      <c r="M23" s="170">
        <v>2</v>
      </c>
      <c r="N23" s="170">
        <f t="shared" si="0"/>
        <v>43</v>
      </c>
    </row>
    <row r="24" spans="1:14" s="132" customFormat="1" ht="15" customHeight="1" x14ac:dyDescent="0.2">
      <c r="A24" s="151" t="s">
        <v>225</v>
      </c>
      <c r="B24" s="152">
        <v>0</v>
      </c>
      <c r="C24" s="153">
        <v>0</v>
      </c>
      <c r="D24" s="153">
        <v>0</v>
      </c>
      <c r="E24" s="153">
        <v>0</v>
      </c>
      <c r="F24" s="153">
        <v>8</v>
      </c>
      <c r="G24" s="153">
        <v>34</v>
      </c>
      <c r="H24" s="153">
        <v>43</v>
      </c>
      <c r="I24" s="153">
        <v>32</v>
      </c>
      <c r="J24" s="153">
        <v>44</v>
      </c>
      <c r="K24" s="153">
        <v>0</v>
      </c>
      <c r="L24" s="153">
        <v>0</v>
      </c>
      <c r="M24" s="153">
        <v>0</v>
      </c>
      <c r="N24" s="153">
        <f t="shared" si="0"/>
        <v>161</v>
      </c>
    </row>
    <row r="25" spans="1:14" s="132" customFormat="1" ht="15" customHeight="1" x14ac:dyDescent="0.2">
      <c r="A25" s="151" t="s">
        <v>226</v>
      </c>
      <c r="B25" s="152">
        <v>0</v>
      </c>
      <c r="C25" s="153">
        <v>7</v>
      </c>
      <c r="D25" s="153">
        <v>7</v>
      </c>
      <c r="E25" s="153">
        <v>21</v>
      </c>
      <c r="F25" s="153">
        <v>17</v>
      </c>
      <c r="G25" s="153">
        <v>0</v>
      </c>
      <c r="H25" s="153">
        <v>0</v>
      </c>
      <c r="I25" s="153">
        <v>0</v>
      </c>
      <c r="J25" s="153">
        <v>0</v>
      </c>
      <c r="K25" s="153">
        <v>12</v>
      </c>
      <c r="L25" s="153">
        <v>7</v>
      </c>
      <c r="M25" s="153">
        <v>6</v>
      </c>
      <c r="N25" s="153">
        <f t="shared" si="0"/>
        <v>77</v>
      </c>
    </row>
    <row r="26" spans="1:14" s="132" customFormat="1" ht="15" customHeight="1" x14ac:dyDescent="0.2">
      <c r="A26" s="168" t="s">
        <v>227</v>
      </c>
      <c r="B26" s="169">
        <v>1</v>
      </c>
      <c r="C26" s="170">
        <v>5</v>
      </c>
      <c r="D26" s="170">
        <v>8</v>
      </c>
      <c r="E26" s="170">
        <v>5</v>
      </c>
      <c r="F26" s="170">
        <v>12</v>
      </c>
      <c r="G26" s="170">
        <v>1</v>
      </c>
      <c r="H26" s="171">
        <v>14</v>
      </c>
      <c r="I26" s="170">
        <v>7</v>
      </c>
      <c r="J26" s="170">
        <v>14</v>
      </c>
      <c r="K26" s="170">
        <v>8</v>
      </c>
      <c r="L26" s="170">
        <v>0</v>
      </c>
      <c r="M26" s="170">
        <v>4</v>
      </c>
      <c r="N26" s="170">
        <f t="shared" si="0"/>
        <v>79</v>
      </c>
    </row>
    <row r="27" spans="1:14" s="132" customFormat="1" ht="15" customHeight="1" x14ac:dyDescent="0.2">
      <c r="A27" s="157" t="s">
        <v>228</v>
      </c>
      <c r="B27" s="158">
        <v>0</v>
      </c>
      <c r="C27" s="159">
        <v>0</v>
      </c>
      <c r="D27" s="159">
        <v>0</v>
      </c>
      <c r="E27" s="159">
        <v>0</v>
      </c>
      <c r="F27" s="159">
        <v>411</v>
      </c>
      <c r="G27" s="159">
        <v>1193</v>
      </c>
      <c r="H27" s="159">
        <v>1440</v>
      </c>
      <c r="I27" s="159">
        <v>1821</v>
      </c>
      <c r="J27" s="159">
        <v>1266</v>
      </c>
      <c r="K27" s="159">
        <v>0</v>
      </c>
      <c r="L27" s="159">
        <v>0</v>
      </c>
      <c r="M27" s="159">
        <v>0</v>
      </c>
      <c r="N27" s="159">
        <f t="shared" si="0"/>
        <v>6131</v>
      </c>
    </row>
    <row r="28" spans="1:14" s="132" customFormat="1" ht="15" customHeight="1" x14ac:dyDescent="0.2">
      <c r="A28" s="157" t="s">
        <v>229</v>
      </c>
      <c r="B28" s="158">
        <v>338</v>
      </c>
      <c r="C28" s="159">
        <v>539</v>
      </c>
      <c r="D28" s="159">
        <v>686</v>
      </c>
      <c r="E28" s="159">
        <v>780</v>
      </c>
      <c r="F28" s="159">
        <v>742</v>
      </c>
      <c r="G28" s="159">
        <v>0</v>
      </c>
      <c r="H28" s="159">
        <v>0</v>
      </c>
      <c r="I28" s="159">
        <v>0</v>
      </c>
      <c r="J28" s="159">
        <v>0</v>
      </c>
      <c r="K28" s="159">
        <v>1125</v>
      </c>
      <c r="L28" s="159">
        <v>1182</v>
      </c>
      <c r="M28" s="159">
        <v>1150</v>
      </c>
      <c r="N28" s="159">
        <f t="shared" si="0"/>
        <v>6542</v>
      </c>
    </row>
    <row r="29" spans="1:14" s="132" customFormat="1" ht="15" customHeight="1" x14ac:dyDescent="0.2">
      <c r="A29" s="183" t="s">
        <v>230</v>
      </c>
      <c r="B29" s="184">
        <v>0</v>
      </c>
      <c r="C29" s="185">
        <v>0</v>
      </c>
      <c r="D29" s="185">
        <v>0</v>
      </c>
      <c r="E29" s="185">
        <v>0</v>
      </c>
      <c r="F29" s="185">
        <v>358</v>
      </c>
      <c r="G29" s="185">
        <v>1125</v>
      </c>
      <c r="H29" s="185">
        <v>1833</v>
      </c>
      <c r="I29" s="185">
        <v>1489</v>
      </c>
      <c r="J29" s="185">
        <v>1264</v>
      </c>
      <c r="K29" s="185">
        <v>0</v>
      </c>
      <c r="L29" s="185">
        <v>0</v>
      </c>
      <c r="M29" s="185">
        <v>0</v>
      </c>
      <c r="N29" s="185">
        <f t="shared" si="0"/>
        <v>6069</v>
      </c>
    </row>
    <row r="30" spans="1:14" s="132" customFormat="1" ht="15" customHeight="1" x14ac:dyDescent="0.2">
      <c r="A30" s="183" t="s">
        <v>231</v>
      </c>
      <c r="B30" s="184">
        <v>309</v>
      </c>
      <c r="C30" s="185">
        <v>357</v>
      </c>
      <c r="D30" s="185">
        <v>490</v>
      </c>
      <c r="E30" s="185">
        <v>573</v>
      </c>
      <c r="F30" s="185">
        <v>652</v>
      </c>
      <c r="G30" s="185">
        <v>0</v>
      </c>
      <c r="H30" s="185">
        <v>0</v>
      </c>
      <c r="I30" s="185">
        <v>0</v>
      </c>
      <c r="J30" s="185">
        <v>0</v>
      </c>
      <c r="K30" s="185">
        <v>968</v>
      </c>
      <c r="L30" s="185">
        <v>819</v>
      </c>
      <c r="M30" s="185">
        <v>965</v>
      </c>
      <c r="N30" s="185">
        <f t="shared" si="0"/>
        <v>5133</v>
      </c>
    </row>
    <row r="31" spans="1:14" s="132" customFormat="1" ht="15" customHeight="1" x14ac:dyDescent="0.2">
      <c r="A31" s="183" t="s">
        <v>232</v>
      </c>
      <c r="B31" s="184">
        <v>1275</v>
      </c>
      <c r="C31" s="185">
        <v>1550</v>
      </c>
      <c r="D31" s="185">
        <v>1075</v>
      </c>
      <c r="E31" s="185">
        <v>1775</v>
      </c>
      <c r="F31" s="185">
        <v>1525</v>
      </c>
      <c r="G31" s="185">
        <v>1575</v>
      </c>
      <c r="H31" s="185">
        <v>1800</v>
      </c>
      <c r="I31" s="185">
        <v>2175</v>
      </c>
      <c r="J31" s="185">
        <v>1625</v>
      </c>
      <c r="K31" s="185">
        <v>1625</v>
      </c>
      <c r="L31" s="185">
        <v>1300</v>
      </c>
      <c r="M31" s="185">
        <v>2300</v>
      </c>
      <c r="N31" s="185">
        <f t="shared" si="0"/>
        <v>19600</v>
      </c>
    </row>
    <row r="32" spans="1:14" s="132" customFormat="1" ht="15" customHeight="1" x14ac:dyDescent="0.2">
      <c r="A32" s="186" t="s">
        <v>233</v>
      </c>
      <c r="B32" s="187">
        <v>0</v>
      </c>
      <c r="C32" s="188">
        <v>0</v>
      </c>
      <c r="D32" s="188">
        <v>0</v>
      </c>
      <c r="E32" s="188">
        <v>0</v>
      </c>
      <c r="F32" s="188">
        <v>38</v>
      </c>
      <c r="G32" s="188">
        <v>139</v>
      </c>
      <c r="H32" s="188">
        <v>300</v>
      </c>
      <c r="I32" s="188">
        <v>269</v>
      </c>
      <c r="J32" s="188">
        <v>205</v>
      </c>
      <c r="K32" s="188">
        <v>0</v>
      </c>
      <c r="L32" s="188">
        <v>0</v>
      </c>
      <c r="M32" s="188">
        <v>0</v>
      </c>
      <c r="N32" s="188">
        <f t="shared" si="0"/>
        <v>951</v>
      </c>
    </row>
    <row r="33" spans="1:14" s="132" customFormat="1" ht="15" customHeight="1" x14ac:dyDescent="0.2">
      <c r="A33" s="186" t="s">
        <v>234</v>
      </c>
      <c r="B33" s="187">
        <v>4</v>
      </c>
      <c r="C33" s="188">
        <v>7</v>
      </c>
      <c r="D33" s="188">
        <v>48</v>
      </c>
      <c r="E33" s="188">
        <v>57</v>
      </c>
      <c r="F33" s="188">
        <v>84</v>
      </c>
      <c r="G33" s="188">
        <v>0</v>
      </c>
      <c r="H33" s="188">
        <v>0</v>
      </c>
      <c r="I33" s="188">
        <v>0</v>
      </c>
      <c r="J33" s="188">
        <v>0</v>
      </c>
      <c r="K33" s="188">
        <v>59</v>
      </c>
      <c r="L33" s="188">
        <v>21</v>
      </c>
      <c r="M33" s="188">
        <v>18</v>
      </c>
      <c r="N33" s="188">
        <f t="shared" si="0"/>
        <v>298</v>
      </c>
    </row>
    <row r="34" spans="1:14" s="132" customFormat="1" ht="15" customHeight="1" x14ac:dyDescent="0.2">
      <c r="A34" s="168" t="s">
        <v>235</v>
      </c>
      <c r="B34" s="169">
        <v>0</v>
      </c>
      <c r="C34" s="170">
        <v>0</v>
      </c>
      <c r="D34" s="170">
        <v>0</v>
      </c>
      <c r="E34" s="170">
        <v>0</v>
      </c>
      <c r="F34" s="170">
        <v>38</v>
      </c>
      <c r="G34" s="170">
        <v>124</v>
      </c>
      <c r="H34" s="170">
        <v>125</v>
      </c>
      <c r="I34" s="170">
        <v>105</v>
      </c>
      <c r="J34" s="170">
        <v>88</v>
      </c>
      <c r="K34" s="170">
        <v>0</v>
      </c>
      <c r="L34" s="170">
        <v>0</v>
      </c>
      <c r="M34" s="170">
        <v>0</v>
      </c>
      <c r="N34" s="170">
        <f t="shared" si="0"/>
        <v>480</v>
      </c>
    </row>
    <row r="35" spans="1:14" s="132" customFormat="1" ht="15" customHeight="1" x14ac:dyDescent="0.2">
      <c r="A35" s="168" t="s">
        <v>236</v>
      </c>
      <c r="B35" s="169">
        <v>39</v>
      </c>
      <c r="C35" s="170">
        <v>87</v>
      </c>
      <c r="D35" s="170">
        <v>105</v>
      </c>
      <c r="E35" s="170">
        <v>147</v>
      </c>
      <c r="F35" s="170">
        <v>92</v>
      </c>
      <c r="G35" s="170">
        <v>0</v>
      </c>
      <c r="H35" s="170">
        <v>0</v>
      </c>
      <c r="I35" s="170">
        <v>0</v>
      </c>
      <c r="J35" s="170">
        <v>0</v>
      </c>
      <c r="K35" s="170">
        <v>96</v>
      </c>
      <c r="L35" s="170">
        <v>56</v>
      </c>
      <c r="M35" s="170">
        <v>62</v>
      </c>
      <c r="N35" s="170">
        <f t="shared" si="0"/>
        <v>684</v>
      </c>
    </row>
    <row r="36" spans="1:14" s="132" customFormat="1" ht="15" customHeight="1" x14ac:dyDescent="0.2">
      <c r="A36" s="168" t="s">
        <v>237</v>
      </c>
      <c r="B36" s="169">
        <v>0</v>
      </c>
      <c r="C36" s="170">
        <v>0</v>
      </c>
      <c r="D36" s="170">
        <v>0</v>
      </c>
      <c r="E36" s="170">
        <v>0</v>
      </c>
      <c r="F36" s="170">
        <v>75</v>
      </c>
      <c r="G36" s="170">
        <v>138</v>
      </c>
      <c r="H36" s="170">
        <v>160</v>
      </c>
      <c r="I36" s="170">
        <v>161</v>
      </c>
      <c r="J36" s="170">
        <v>117</v>
      </c>
      <c r="K36" s="170">
        <v>0</v>
      </c>
      <c r="L36" s="170">
        <v>0</v>
      </c>
      <c r="M36" s="170">
        <v>0</v>
      </c>
      <c r="N36" s="170">
        <f t="shared" si="0"/>
        <v>651</v>
      </c>
    </row>
    <row r="37" spans="1:14" s="132" customFormat="1" ht="15" customHeight="1" x14ac:dyDescent="0.2">
      <c r="A37" s="168" t="s">
        <v>238</v>
      </c>
      <c r="B37" s="169">
        <v>43</v>
      </c>
      <c r="C37" s="170">
        <v>64</v>
      </c>
      <c r="D37" s="170">
        <v>95</v>
      </c>
      <c r="E37" s="170">
        <v>135</v>
      </c>
      <c r="F37" s="170">
        <v>84</v>
      </c>
      <c r="G37" s="170">
        <v>0</v>
      </c>
      <c r="H37" s="170">
        <v>0</v>
      </c>
      <c r="I37" s="170">
        <v>0</v>
      </c>
      <c r="J37" s="170">
        <v>0</v>
      </c>
      <c r="K37" s="170">
        <v>135</v>
      </c>
      <c r="L37" s="170">
        <v>85</v>
      </c>
      <c r="M37" s="170">
        <v>61</v>
      </c>
      <c r="N37" s="170">
        <f t="shared" si="0"/>
        <v>702</v>
      </c>
    </row>
    <row r="38" spans="1:14" s="132" customFormat="1" ht="15" customHeight="1" x14ac:dyDescent="0.2">
      <c r="A38" s="168" t="s">
        <v>239</v>
      </c>
      <c r="B38" s="169">
        <v>0</v>
      </c>
      <c r="C38" s="170">
        <v>0</v>
      </c>
      <c r="D38" s="170">
        <v>0</v>
      </c>
      <c r="E38" s="170">
        <v>0</v>
      </c>
      <c r="F38" s="170">
        <v>18</v>
      </c>
      <c r="G38" s="170">
        <v>36</v>
      </c>
      <c r="H38" s="170">
        <v>52</v>
      </c>
      <c r="I38" s="170">
        <v>49</v>
      </c>
      <c r="J38" s="170">
        <v>29</v>
      </c>
      <c r="K38" s="170">
        <v>0</v>
      </c>
      <c r="L38" s="170">
        <v>0</v>
      </c>
      <c r="M38" s="170">
        <v>0</v>
      </c>
      <c r="N38" s="170">
        <f t="shared" si="0"/>
        <v>184</v>
      </c>
    </row>
    <row r="39" spans="1:14" s="132" customFormat="1" ht="15" customHeight="1" x14ac:dyDescent="0.2">
      <c r="A39" s="168" t="s">
        <v>240</v>
      </c>
      <c r="B39" s="169">
        <v>9</v>
      </c>
      <c r="C39" s="170">
        <v>16</v>
      </c>
      <c r="D39" s="170">
        <v>26</v>
      </c>
      <c r="E39" s="170">
        <v>30</v>
      </c>
      <c r="F39" s="170">
        <v>24</v>
      </c>
      <c r="G39" s="170">
        <v>0</v>
      </c>
      <c r="H39" s="170">
        <v>0</v>
      </c>
      <c r="I39" s="170">
        <v>0</v>
      </c>
      <c r="J39" s="170">
        <v>0</v>
      </c>
      <c r="K39" s="170">
        <v>35</v>
      </c>
      <c r="L39" s="170">
        <v>28</v>
      </c>
      <c r="M39" s="170">
        <v>15</v>
      </c>
      <c r="N39" s="170">
        <f t="shared" si="0"/>
        <v>183</v>
      </c>
    </row>
    <row r="40" spans="1:14" s="132" customFormat="1" ht="15" customHeight="1" x14ac:dyDescent="0.2">
      <c r="A40" s="168" t="s">
        <v>241</v>
      </c>
      <c r="B40" s="169">
        <v>0</v>
      </c>
      <c r="C40" s="170">
        <v>0</v>
      </c>
      <c r="D40" s="170">
        <v>0</v>
      </c>
      <c r="E40" s="170">
        <v>0</v>
      </c>
      <c r="F40" s="170">
        <v>10</v>
      </c>
      <c r="G40" s="170">
        <v>3</v>
      </c>
      <c r="H40" s="170">
        <v>32</v>
      </c>
      <c r="I40" s="170">
        <v>15</v>
      </c>
      <c r="J40" s="170">
        <v>18</v>
      </c>
      <c r="K40" s="170">
        <v>0</v>
      </c>
      <c r="L40" s="170">
        <v>0</v>
      </c>
      <c r="M40" s="170">
        <v>0</v>
      </c>
      <c r="N40" s="170">
        <f t="shared" si="0"/>
        <v>78</v>
      </c>
    </row>
    <row r="41" spans="1:14" s="132" customFormat="1" ht="15" customHeight="1" x14ac:dyDescent="0.2">
      <c r="A41" s="168" t="s">
        <v>242</v>
      </c>
      <c r="B41" s="169">
        <v>3</v>
      </c>
      <c r="C41" s="170">
        <v>7</v>
      </c>
      <c r="D41" s="170">
        <v>11</v>
      </c>
      <c r="E41" s="170">
        <v>15</v>
      </c>
      <c r="F41" s="170">
        <v>7</v>
      </c>
      <c r="G41" s="170">
        <v>0</v>
      </c>
      <c r="H41" s="170">
        <v>0</v>
      </c>
      <c r="I41" s="170">
        <v>0</v>
      </c>
      <c r="J41" s="170">
        <v>0</v>
      </c>
      <c r="K41" s="170">
        <v>17</v>
      </c>
      <c r="L41" s="170">
        <v>6</v>
      </c>
      <c r="M41" s="170">
        <v>8</v>
      </c>
      <c r="N41" s="170">
        <f t="shared" si="0"/>
        <v>74</v>
      </c>
    </row>
    <row r="42" spans="1:14" s="132" customFormat="1" ht="15" customHeight="1" x14ac:dyDescent="0.2">
      <c r="A42" s="175" t="s">
        <v>243</v>
      </c>
      <c r="B42" s="169">
        <v>702</v>
      </c>
      <c r="C42" s="170">
        <v>660</v>
      </c>
      <c r="D42" s="170">
        <v>688</v>
      </c>
      <c r="E42" s="170">
        <v>701</v>
      </c>
      <c r="F42" s="170">
        <v>721</v>
      </c>
      <c r="G42" s="170">
        <v>729</v>
      </c>
      <c r="H42" s="170">
        <v>759</v>
      </c>
      <c r="I42" s="170">
        <v>757</v>
      </c>
      <c r="J42" s="170">
        <v>718</v>
      </c>
      <c r="K42" s="170">
        <v>714</v>
      </c>
      <c r="L42" s="170">
        <v>680</v>
      </c>
      <c r="M42" s="170">
        <v>704</v>
      </c>
      <c r="N42" s="170">
        <f t="shared" si="0"/>
        <v>8533</v>
      </c>
    </row>
    <row r="43" spans="1:14" s="132" customFormat="1" ht="15" customHeight="1" x14ac:dyDescent="0.2">
      <c r="A43" s="175" t="s">
        <v>244</v>
      </c>
      <c r="B43" s="170">
        <v>100</v>
      </c>
      <c r="C43" s="170">
        <v>201</v>
      </c>
      <c r="D43" s="170">
        <v>229</v>
      </c>
      <c r="E43" s="170">
        <v>395</v>
      </c>
      <c r="F43" s="170">
        <f>276+252</f>
        <v>528</v>
      </c>
      <c r="G43" s="170">
        <v>591</v>
      </c>
      <c r="H43" s="170">
        <v>1557</v>
      </c>
      <c r="I43" s="173">
        <v>1129</v>
      </c>
      <c r="J43" s="170">
        <v>535</v>
      </c>
      <c r="K43" s="170">
        <v>354</v>
      </c>
      <c r="L43" s="170">
        <v>410</v>
      </c>
      <c r="M43" s="170">
        <v>382</v>
      </c>
      <c r="N43" s="170">
        <f t="shared" si="0"/>
        <v>6411</v>
      </c>
    </row>
    <row r="44" spans="1:14" s="132" customFormat="1" ht="15" customHeight="1" x14ac:dyDescent="0.2">
      <c r="A44" s="176" t="s">
        <v>207</v>
      </c>
      <c r="B44" s="132">
        <f>SUM(B4:B42)</f>
        <v>9142</v>
      </c>
      <c r="C44" s="132">
        <f t="shared" ref="C44:M44" si="1">SUM(C4:C43)</f>
        <v>12176</v>
      </c>
      <c r="D44" s="132">
        <f t="shared" si="1"/>
        <v>13936</v>
      </c>
      <c r="E44" s="132">
        <f t="shared" si="1"/>
        <v>15380</v>
      </c>
      <c r="F44" s="132">
        <f t="shared" si="1"/>
        <v>17172</v>
      </c>
      <c r="G44" s="132">
        <f t="shared" si="1"/>
        <v>17937</v>
      </c>
      <c r="H44" s="132">
        <f t="shared" si="1"/>
        <v>23264</v>
      </c>
      <c r="I44" s="132">
        <f t="shared" si="1"/>
        <v>21981</v>
      </c>
      <c r="J44" s="132">
        <f t="shared" si="1"/>
        <v>16964</v>
      </c>
      <c r="K44" s="132">
        <f t="shared" si="1"/>
        <v>15214</v>
      </c>
      <c r="L44" s="132">
        <f t="shared" si="1"/>
        <v>13831</v>
      </c>
      <c r="M44" s="132">
        <f t="shared" si="1"/>
        <v>17613</v>
      </c>
      <c r="N44" s="132">
        <f>SUM(N4:N42)</f>
        <v>188299</v>
      </c>
    </row>
    <row r="45" spans="1:14" ht="15" customHeight="1" x14ac:dyDescent="0.2"/>
    <row r="46" spans="1:14" x14ac:dyDescent="0.2">
      <c r="A46" s="175" t="s">
        <v>245</v>
      </c>
      <c r="B46" s="189">
        <f t="shared" ref="B46:N46" si="2">SUM(B4:B15)</f>
        <v>2795</v>
      </c>
      <c r="C46" s="189">
        <f t="shared" si="2"/>
        <v>4340</v>
      </c>
      <c r="D46" s="189">
        <f t="shared" si="2"/>
        <v>5045</v>
      </c>
      <c r="E46" s="189">
        <f t="shared" si="2"/>
        <v>4970</v>
      </c>
      <c r="F46" s="189">
        <f t="shared" si="2"/>
        <v>4650</v>
      </c>
      <c r="G46" s="189">
        <f t="shared" si="2"/>
        <v>4545</v>
      </c>
      <c r="H46" s="189">
        <f t="shared" si="2"/>
        <v>4065</v>
      </c>
      <c r="I46" s="189">
        <f t="shared" si="2"/>
        <v>4110</v>
      </c>
      <c r="J46" s="189">
        <f t="shared" si="2"/>
        <v>4160</v>
      </c>
      <c r="K46" s="189">
        <f t="shared" si="2"/>
        <v>3760</v>
      </c>
      <c r="L46" s="189">
        <f t="shared" si="2"/>
        <v>3465</v>
      </c>
      <c r="M46" s="189">
        <f t="shared" si="2"/>
        <v>5580</v>
      </c>
      <c r="N46" s="189">
        <f t="shared" si="2"/>
        <v>51485</v>
      </c>
    </row>
    <row r="47" spans="1:14" x14ac:dyDescent="0.2">
      <c r="A47" s="175" t="s">
        <v>246</v>
      </c>
      <c r="B47" s="189">
        <f t="shared" ref="B47:N47" si="3">+B18+B31</f>
        <v>2825</v>
      </c>
      <c r="C47" s="189">
        <f t="shared" si="3"/>
        <v>2900</v>
      </c>
      <c r="D47" s="189">
        <f t="shared" si="3"/>
        <v>2725</v>
      </c>
      <c r="E47" s="189">
        <f t="shared" si="3"/>
        <v>3375</v>
      </c>
      <c r="F47" s="189">
        <f t="shared" si="3"/>
        <v>3225</v>
      </c>
      <c r="G47" s="189">
        <f t="shared" si="3"/>
        <v>3575</v>
      </c>
      <c r="H47" s="189">
        <f t="shared" si="3"/>
        <v>3850</v>
      </c>
      <c r="I47" s="189">
        <f t="shared" si="3"/>
        <v>3950</v>
      </c>
      <c r="J47" s="189">
        <f t="shared" si="3"/>
        <v>3125</v>
      </c>
      <c r="K47" s="189">
        <f t="shared" si="3"/>
        <v>3275</v>
      </c>
      <c r="L47" s="189">
        <f t="shared" si="3"/>
        <v>2775</v>
      </c>
      <c r="M47" s="189">
        <f t="shared" si="3"/>
        <v>4675</v>
      </c>
      <c r="N47" s="189">
        <f t="shared" si="3"/>
        <v>40275</v>
      </c>
    </row>
    <row r="48" spans="1:14" x14ac:dyDescent="0.2">
      <c r="A48" s="175" t="s">
        <v>247</v>
      </c>
      <c r="B48" s="189">
        <f t="shared" ref="B48:N48" si="4">SUM(B4:B15)+B21+B22+B24+B25+B27+B28+SUM(B34:B41)</f>
        <v>4321</v>
      </c>
      <c r="C48" s="189">
        <f t="shared" si="4"/>
        <v>6748</v>
      </c>
      <c r="D48" s="189">
        <f t="shared" si="4"/>
        <v>8082</v>
      </c>
      <c r="E48" s="189">
        <f t="shared" si="4"/>
        <v>8429</v>
      </c>
      <c r="F48" s="189">
        <f t="shared" si="4"/>
        <v>8893</v>
      </c>
      <c r="G48" s="189">
        <f t="shared" si="4"/>
        <v>8815</v>
      </c>
      <c r="H48" s="189">
        <f t="shared" si="4"/>
        <v>9630</v>
      </c>
      <c r="I48" s="189">
        <f t="shared" si="4"/>
        <v>9939</v>
      </c>
      <c r="J48" s="189">
        <f t="shared" si="4"/>
        <v>8404</v>
      </c>
      <c r="K48" s="189">
        <f t="shared" si="4"/>
        <v>7653</v>
      </c>
      <c r="L48" s="189">
        <f t="shared" si="4"/>
        <v>7301</v>
      </c>
      <c r="M48" s="189">
        <f t="shared" si="4"/>
        <v>9022</v>
      </c>
      <c r="N48" s="189">
        <f t="shared" si="4"/>
        <v>97237</v>
      </c>
    </row>
    <row r="49" spans="1:14" x14ac:dyDescent="0.2">
      <c r="A49" s="175" t="s">
        <v>248</v>
      </c>
      <c r="B49" s="189">
        <f t="shared" ref="B49:N49" si="5">SUM(B4:B15)+B18+B19+B20+B21+B22+B24+B25+B27+B28+B29+B30+B31+B32+B33+SUM(B34:B41)+B43</f>
        <v>8524</v>
      </c>
      <c r="C49" s="189">
        <f t="shared" si="5"/>
        <v>11473</v>
      </c>
      <c r="D49" s="189">
        <f t="shared" si="5"/>
        <v>13169</v>
      </c>
      <c r="E49" s="189">
        <f t="shared" si="5"/>
        <v>14594</v>
      </c>
      <c r="F49" s="189">
        <f t="shared" si="5"/>
        <v>16281</v>
      </c>
      <c r="G49" s="189">
        <f t="shared" si="5"/>
        <v>17007</v>
      </c>
      <c r="H49" s="189">
        <f t="shared" si="5"/>
        <v>22072</v>
      </c>
      <c r="I49" s="189">
        <f t="shared" si="5"/>
        <v>20890</v>
      </c>
      <c r="J49" s="189">
        <f t="shared" si="5"/>
        <v>16013</v>
      </c>
      <c r="K49" s="189">
        <f t="shared" si="5"/>
        <v>14399</v>
      </c>
      <c r="L49" s="189">
        <f t="shared" si="5"/>
        <v>13120</v>
      </c>
      <c r="M49" s="189">
        <f t="shared" si="5"/>
        <v>16879</v>
      </c>
      <c r="N49" s="189">
        <f t="shared" si="5"/>
        <v>184421</v>
      </c>
    </row>
    <row r="50" spans="1:14" x14ac:dyDescent="0.2">
      <c r="A50" s="175" t="s">
        <v>249</v>
      </c>
      <c r="B50" s="189">
        <f t="shared" ref="B50:N50" si="6">SUM(B4:B43)-B26-B42</f>
        <v>8539</v>
      </c>
      <c r="C50" s="189">
        <f t="shared" si="6"/>
        <v>11511</v>
      </c>
      <c r="D50" s="189">
        <f t="shared" si="6"/>
        <v>13240</v>
      </c>
      <c r="E50" s="189">
        <f t="shared" si="6"/>
        <v>14674</v>
      </c>
      <c r="F50" s="189">
        <f t="shared" si="6"/>
        <v>16439</v>
      </c>
      <c r="G50" s="189">
        <f t="shared" si="6"/>
        <v>17207</v>
      </c>
      <c r="H50" s="189">
        <f t="shared" si="6"/>
        <v>22491</v>
      </c>
      <c r="I50" s="189">
        <f t="shared" si="6"/>
        <v>21217</v>
      </c>
      <c r="J50" s="189">
        <f t="shared" si="6"/>
        <v>16232</v>
      </c>
      <c r="K50" s="189">
        <f t="shared" si="6"/>
        <v>14492</v>
      </c>
      <c r="L50" s="189">
        <f t="shared" si="6"/>
        <v>13151</v>
      </c>
      <c r="M50" s="189">
        <f t="shared" si="6"/>
        <v>16905</v>
      </c>
      <c r="N50" s="189">
        <f t="shared" si="6"/>
        <v>186098</v>
      </c>
    </row>
    <row r="51" spans="1:14" x14ac:dyDescent="0.2">
      <c r="A51" s="175" t="s">
        <v>250</v>
      </c>
      <c r="B51" s="189">
        <f t="shared" ref="B51:N51" si="7">+B19+B20+B29+B30+B43</f>
        <v>1374</v>
      </c>
      <c r="C51" s="189">
        <f t="shared" si="7"/>
        <v>1818</v>
      </c>
      <c r="D51" s="189">
        <f t="shared" si="7"/>
        <v>2314</v>
      </c>
      <c r="E51" s="189">
        <f t="shared" si="7"/>
        <v>2733</v>
      </c>
      <c r="F51" s="189">
        <f t="shared" si="7"/>
        <v>4041</v>
      </c>
      <c r="G51" s="189">
        <f t="shared" si="7"/>
        <v>4478</v>
      </c>
      <c r="H51" s="189">
        <f t="shared" si="7"/>
        <v>8292</v>
      </c>
      <c r="I51" s="189">
        <f t="shared" si="7"/>
        <v>6732</v>
      </c>
      <c r="J51" s="189">
        <f t="shared" si="7"/>
        <v>4279</v>
      </c>
      <c r="K51" s="189">
        <f t="shared" si="7"/>
        <v>3412</v>
      </c>
      <c r="L51" s="189">
        <f t="shared" si="7"/>
        <v>3023</v>
      </c>
      <c r="M51" s="189">
        <f t="shared" si="7"/>
        <v>3164</v>
      </c>
      <c r="N51" s="189">
        <f t="shared" si="7"/>
        <v>45660</v>
      </c>
    </row>
    <row r="52" spans="1:14" x14ac:dyDescent="0.2">
      <c r="A52" s="176"/>
      <c r="B52" s="190"/>
      <c r="C52" s="190"/>
      <c r="D52" s="190"/>
      <c r="E52" s="190"/>
      <c r="F52" s="190"/>
      <c r="G52" s="190"/>
      <c r="H52" s="190"/>
      <c r="I52" s="190"/>
      <c r="J52" s="190"/>
      <c r="K52" s="190"/>
      <c r="L52" s="190"/>
      <c r="M52" s="190"/>
      <c r="N52" s="190"/>
    </row>
    <row r="56" spans="1:14" x14ac:dyDescent="0.2">
      <c r="A56" s="175" t="s">
        <v>251</v>
      </c>
      <c r="B56" s="189">
        <f t="shared" ref="B56:N56" si="8">+B21+B22+B27+B28</f>
        <v>1432</v>
      </c>
      <c r="C56" s="189">
        <f t="shared" si="8"/>
        <v>2227</v>
      </c>
      <c r="D56" s="189">
        <f t="shared" si="8"/>
        <v>2793</v>
      </c>
      <c r="E56" s="189">
        <f t="shared" si="8"/>
        <v>3111</v>
      </c>
      <c r="F56" s="189">
        <f t="shared" si="8"/>
        <v>3870</v>
      </c>
      <c r="G56" s="189">
        <f t="shared" si="8"/>
        <v>3935</v>
      </c>
      <c r="H56" s="189">
        <f t="shared" si="8"/>
        <v>5153</v>
      </c>
      <c r="I56" s="189">
        <f t="shared" si="8"/>
        <v>5467</v>
      </c>
      <c r="J56" s="189">
        <f t="shared" si="8"/>
        <v>3948</v>
      </c>
      <c r="K56" s="189">
        <f t="shared" si="8"/>
        <v>3598</v>
      </c>
      <c r="L56" s="189">
        <f t="shared" si="8"/>
        <v>3654</v>
      </c>
      <c r="M56" s="189">
        <f t="shared" si="8"/>
        <v>3290</v>
      </c>
      <c r="N56" s="189">
        <f t="shared" si="8"/>
        <v>42478</v>
      </c>
    </row>
    <row r="57" spans="1:14" x14ac:dyDescent="0.2">
      <c r="A57" s="175" t="s">
        <v>252</v>
      </c>
      <c r="B57" s="189">
        <f t="shared" ref="B57:N57" si="9">+B24+B25</f>
        <v>0</v>
      </c>
      <c r="C57" s="189">
        <f t="shared" si="9"/>
        <v>7</v>
      </c>
      <c r="D57" s="189">
        <f t="shared" si="9"/>
        <v>7</v>
      </c>
      <c r="E57" s="189">
        <f t="shared" si="9"/>
        <v>21</v>
      </c>
      <c r="F57" s="189">
        <f t="shared" si="9"/>
        <v>25</v>
      </c>
      <c r="G57" s="189">
        <f t="shared" si="9"/>
        <v>34</v>
      </c>
      <c r="H57" s="189">
        <f t="shared" si="9"/>
        <v>43</v>
      </c>
      <c r="I57" s="189">
        <f t="shared" si="9"/>
        <v>32</v>
      </c>
      <c r="J57" s="189">
        <f t="shared" si="9"/>
        <v>44</v>
      </c>
      <c r="K57" s="189">
        <f t="shared" si="9"/>
        <v>12</v>
      </c>
      <c r="L57" s="189">
        <f t="shared" si="9"/>
        <v>7</v>
      </c>
      <c r="M57" s="189">
        <f t="shared" si="9"/>
        <v>6</v>
      </c>
      <c r="N57" s="189">
        <f t="shared" si="9"/>
        <v>238</v>
      </c>
    </row>
    <row r="58" spans="1:14" x14ac:dyDescent="0.2">
      <c r="A58" s="175" t="s">
        <v>253</v>
      </c>
      <c r="B58" s="189">
        <f t="shared" ref="B58:N58" si="10">SUM(B4:B11)+SUM(B34:B41)</f>
        <v>209</v>
      </c>
      <c r="C58" s="189">
        <f t="shared" si="10"/>
        <v>249</v>
      </c>
      <c r="D58" s="189">
        <f t="shared" si="10"/>
        <v>392</v>
      </c>
      <c r="E58" s="189">
        <f t="shared" si="10"/>
        <v>422</v>
      </c>
      <c r="F58" s="189">
        <f t="shared" si="10"/>
        <v>553</v>
      </c>
      <c r="G58" s="189">
        <f t="shared" si="10"/>
        <v>391</v>
      </c>
      <c r="H58" s="189">
        <f t="shared" si="10"/>
        <v>554</v>
      </c>
      <c r="I58" s="189">
        <f t="shared" si="10"/>
        <v>460</v>
      </c>
      <c r="J58" s="189">
        <f t="shared" si="10"/>
        <v>437</v>
      </c>
      <c r="K58" s="189">
        <f t="shared" si="10"/>
        <v>473</v>
      </c>
      <c r="L58" s="189">
        <f t="shared" si="10"/>
        <v>315</v>
      </c>
      <c r="M58" s="189">
        <f t="shared" si="10"/>
        <v>366</v>
      </c>
      <c r="N58" s="189">
        <f t="shared" si="10"/>
        <v>4821</v>
      </c>
    </row>
    <row r="59" spans="1:14" x14ac:dyDescent="0.2">
      <c r="A59" s="175" t="s">
        <v>254</v>
      </c>
      <c r="B59" s="189">
        <f t="shared" ref="B59:N59" si="11">+B16+B17+B32+B33</f>
        <v>17</v>
      </c>
      <c r="C59" s="189">
        <f t="shared" si="11"/>
        <v>38</v>
      </c>
      <c r="D59" s="189">
        <f t="shared" si="11"/>
        <v>113</v>
      </c>
      <c r="E59" s="189">
        <f t="shared" si="11"/>
        <v>135</v>
      </c>
      <c r="F59" s="189">
        <f t="shared" si="11"/>
        <v>277</v>
      </c>
      <c r="G59" s="189">
        <f t="shared" si="11"/>
        <v>330</v>
      </c>
      <c r="H59" s="189">
        <f t="shared" si="11"/>
        <v>717</v>
      </c>
      <c r="I59" s="189">
        <f t="shared" si="11"/>
        <v>593</v>
      </c>
      <c r="J59" s="189">
        <f t="shared" si="11"/>
        <v>422</v>
      </c>
      <c r="K59" s="189">
        <f t="shared" si="11"/>
        <v>148</v>
      </c>
      <c r="L59" s="189">
        <f t="shared" si="11"/>
        <v>51</v>
      </c>
      <c r="M59" s="189">
        <f t="shared" si="11"/>
        <v>42</v>
      </c>
      <c r="N59" s="189">
        <f t="shared" si="11"/>
        <v>2883</v>
      </c>
    </row>
  </sheetData>
  <pageMargins left="0.7" right="0.7" top="0.75" bottom="0.75" header="0.3" footer="0.3"/>
  <pageSetup paperSize="5" scale="5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CE0D9-037A-434E-92C1-2DBE12F92FC1}">
  <sheetPr>
    <pageSetUpPr fitToPage="1"/>
  </sheetPr>
  <dimension ref="A1:T50"/>
  <sheetViews>
    <sheetView zoomScale="96" zoomScaleNormal="96" workbookViewId="0">
      <pane xSplit="1" topLeftCell="B1" activePane="topRight" state="frozen"/>
      <selection pane="topRight" activeCell="J6" sqref="J6"/>
    </sheetView>
  </sheetViews>
  <sheetFormatPr defaultColWidth="10" defaultRowHeight="15" x14ac:dyDescent="0.2"/>
  <cols>
    <col min="1" max="1" width="44" style="123" customWidth="1"/>
    <col min="2" max="13" width="10" style="123" customWidth="1"/>
    <col min="14" max="16384" width="10" style="123"/>
  </cols>
  <sheetData>
    <row r="1" spans="1:14" ht="15.75" x14ac:dyDescent="0.2">
      <c r="A1" s="122" t="s">
        <v>154</v>
      </c>
    </row>
    <row r="2" spans="1:14" x14ac:dyDescent="0.2">
      <c r="A2" s="124"/>
      <c r="I2" s="125"/>
    </row>
    <row r="3" spans="1:14" x14ac:dyDescent="0.2">
      <c r="A3" s="124"/>
      <c r="B3" s="126" t="s">
        <v>155</v>
      </c>
      <c r="C3" s="127" t="s">
        <v>156</v>
      </c>
      <c r="D3" s="127" t="s">
        <v>157</v>
      </c>
      <c r="E3" s="127" t="s">
        <v>158</v>
      </c>
      <c r="F3" s="127" t="s">
        <v>159</v>
      </c>
      <c r="G3" s="127" t="s">
        <v>160</v>
      </c>
      <c r="H3" s="127" t="s">
        <v>161</v>
      </c>
      <c r="I3" s="127" t="s">
        <v>162</v>
      </c>
      <c r="J3" s="127" t="s">
        <v>163</v>
      </c>
      <c r="K3" s="127" t="s">
        <v>164</v>
      </c>
      <c r="L3" s="127" t="s">
        <v>165</v>
      </c>
      <c r="M3" s="127" t="s">
        <v>166</v>
      </c>
      <c r="N3" s="128" t="s">
        <v>167</v>
      </c>
    </row>
    <row r="4" spans="1:14" s="132" customFormat="1" ht="15" customHeight="1" x14ac:dyDescent="0.2">
      <c r="A4" s="129" t="s">
        <v>168</v>
      </c>
      <c r="B4" s="130"/>
      <c r="C4" s="131"/>
      <c r="D4" s="131"/>
      <c r="E4" s="131"/>
      <c r="F4" s="131">
        <v>1422</v>
      </c>
      <c r="G4" s="131">
        <v>3566</v>
      </c>
      <c r="H4" s="131">
        <v>5480</v>
      </c>
      <c r="I4" s="131">
        <v>4305</v>
      </c>
      <c r="J4" s="131">
        <v>3792</v>
      </c>
      <c r="K4" s="131">
        <v>136</v>
      </c>
      <c r="L4" s="131"/>
      <c r="M4" s="131"/>
      <c r="N4" s="131">
        <f t="shared" ref="N4:N7" si="0">SUM(B4:M4)</f>
        <v>18701</v>
      </c>
    </row>
    <row r="5" spans="1:14" s="132" customFormat="1" ht="15" customHeight="1" x14ac:dyDescent="0.2">
      <c r="A5" s="129" t="s">
        <v>169</v>
      </c>
      <c r="B5" s="130">
        <v>1995</v>
      </c>
      <c r="C5" s="131">
        <f>1568+262</f>
        <v>1830</v>
      </c>
      <c r="D5" s="131">
        <v>2284</v>
      </c>
      <c r="E5" s="131">
        <v>1133</v>
      </c>
      <c r="F5" s="131">
        <v>5150</v>
      </c>
      <c r="G5" s="131"/>
      <c r="H5" s="131"/>
      <c r="I5" s="131"/>
      <c r="J5" s="131">
        <v>5</v>
      </c>
      <c r="K5" s="131">
        <v>2038</v>
      </c>
      <c r="L5" s="131">
        <v>1543</v>
      </c>
      <c r="M5" s="131">
        <v>2439</v>
      </c>
      <c r="N5" s="131">
        <f t="shared" si="0"/>
        <v>18417</v>
      </c>
    </row>
    <row r="6" spans="1:14" s="132" customFormat="1" ht="15" customHeight="1" x14ac:dyDescent="0.2">
      <c r="A6" s="133" t="s">
        <v>170</v>
      </c>
      <c r="B6" s="134"/>
      <c r="C6" s="135"/>
      <c r="D6" s="135"/>
      <c r="E6" s="135"/>
      <c r="F6" s="135">
        <v>1100</v>
      </c>
      <c r="G6" s="135">
        <v>2002</v>
      </c>
      <c r="H6" s="135">
        <v>2458</v>
      </c>
      <c r="I6" s="135">
        <v>2263</v>
      </c>
      <c r="J6" s="135">
        <v>1966</v>
      </c>
      <c r="K6" s="135">
        <v>70</v>
      </c>
      <c r="L6" s="135"/>
      <c r="M6" s="135"/>
      <c r="N6" s="135">
        <f t="shared" si="0"/>
        <v>9859</v>
      </c>
    </row>
    <row r="7" spans="1:14" s="132" customFormat="1" ht="15" customHeight="1" x14ac:dyDescent="0.2">
      <c r="A7" s="133" t="s">
        <v>171</v>
      </c>
      <c r="B7" s="134">
        <v>1050</v>
      </c>
      <c r="C7" s="135">
        <f>892+149</f>
        <v>1041</v>
      </c>
      <c r="D7" s="136">
        <v>1442</v>
      </c>
      <c r="E7" s="135">
        <v>885</v>
      </c>
      <c r="F7" s="135">
        <v>3071</v>
      </c>
      <c r="G7" s="135"/>
      <c r="H7" s="135"/>
      <c r="I7" s="135"/>
      <c r="J7" s="135">
        <v>8</v>
      </c>
      <c r="K7" s="135">
        <v>1258</v>
      </c>
      <c r="L7" s="135">
        <v>970</v>
      </c>
      <c r="M7" s="135">
        <v>1310</v>
      </c>
      <c r="N7" s="135">
        <f t="shared" si="0"/>
        <v>11035</v>
      </c>
    </row>
    <row r="8" spans="1:14" s="132" customFormat="1" ht="15" customHeight="1" x14ac:dyDescent="0.2">
      <c r="A8" s="137" t="s">
        <v>172</v>
      </c>
      <c r="B8" s="138"/>
      <c r="C8" s="139"/>
      <c r="D8" s="139"/>
      <c r="E8" s="139"/>
      <c r="F8" s="139">
        <v>124</v>
      </c>
      <c r="G8" s="139">
        <v>216</v>
      </c>
      <c r="H8" s="139">
        <v>474</v>
      </c>
      <c r="I8" s="139">
        <v>322</v>
      </c>
      <c r="J8" s="139">
        <v>254</v>
      </c>
      <c r="K8" s="139">
        <v>1</v>
      </c>
      <c r="L8" s="139"/>
      <c r="M8" s="139"/>
      <c r="N8" s="139">
        <f>SUM(B8:M8)</f>
        <v>1391</v>
      </c>
    </row>
    <row r="9" spans="1:14" s="132" customFormat="1" ht="15" customHeight="1" x14ac:dyDescent="0.2">
      <c r="A9" s="137" t="s">
        <v>173</v>
      </c>
      <c r="B9" s="138">
        <v>40</v>
      </c>
      <c r="C9" s="139">
        <f>14+7</f>
        <v>21</v>
      </c>
      <c r="D9" s="139">
        <v>40</v>
      </c>
      <c r="E9" s="139"/>
      <c r="F9" s="139">
        <v>262</v>
      </c>
      <c r="G9" s="139"/>
      <c r="H9" s="139"/>
      <c r="I9" s="139"/>
      <c r="J9" s="139"/>
      <c r="K9" s="139">
        <v>61</v>
      </c>
      <c r="L9" s="139">
        <v>45</v>
      </c>
      <c r="M9" s="139">
        <v>58</v>
      </c>
      <c r="N9" s="139">
        <f t="shared" ref="N9:N17" si="1">SUM(B9:M9)</f>
        <v>527</v>
      </c>
    </row>
    <row r="10" spans="1:14" s="132" customFormat="1" ht="15" customHeight="1" x14ac:dyDescent="0.2">
      <c r="A10" s="140" t="s">
        <v>174</v>
      </c>
      <c r="B10" s="141"/>
      <c r="C10" s="142"/>
      <c r="D10" s="142"/>
      <c r="E10" s="142"/>
      <c r="F10" s="142">
        <v>67</v>
      </c>
      <c r="G10" s="142">
        <v>235</v>
      </c>
      <c r="H10" s="142">
        <v>429</v>
      </c>
      <c r="I10" s="142">
        <v>313</v>
      </c>
      <c r="J10" s="142">
        <v>269</v>
      </c>
      <c r="K10" s="142">
        <v>2</v>
      </c>
      <c r="L10" s="142"/>
      <c r="M10" s="142"/>
      <c r="N10" s="142">
        <f t="shared" si="1"/>
        <v>1315</v>
      </c>
    </row>
    <row r="11" spans="1:14" s="132" customFormat="1" ht="15" customHeight="1" x14ac:dyDescent="0.2">
      <c r="A11" s="140" t="s">
        <v>175</v>
      </c>
      <c r="B11" s="141">
        <v>22</v>
      </c>
      <c r="C11" s="142">
        <f>6+7</f>
        <v>13</v>
      </c>
      <c r="D11" s="142">
        <v>42</v>
      </c>
      <c r="E11" s="142">
        <v>30</v>
      </c>
      <c r="F11" s="142">
        <v>195</v>
      </c>
      <c r="G11" s="142"/>
      <c r="H11" s="142"/>
      <c r="I11" s="142"/>
      <c r="J11" s="142">
        <v>1</v>
      </c>
      <c r="K11" s="142">
        <v>122</v>
      </c>
      <c r="L11" s="142">
        <v>40</v>
      </c>
      <c r="M11" s="142">
        <v>41</v>
      </c>
      <c r="N11" s="142">
        <f t="shared" si="1"/>
        <v>506</v>
      </c>
    </row>
    <row r="12" spans="1:14" s="132" customFormat="1" ht="15" customHeight="1" x14ac:dyDescent="0.2">
      <c r="A12" s="129" t="s">
        <v>176</v>
      </c>
      <c r="B12" s="143"/>
      <c r="C12" s="143"/>
      <c r="D12" s="143"/>
      <c r="E12" s="143"/>
      <c r="F12" s="143">
        <f>83*25</f>
        <v>2075</v>
      </c>
      <c r="G12" s="143">
        <f>65*25</f>
        <v>1625</v>
      </c>
      <c r="H12" s="143">
        <f>64*25</f>
        <v>1600</v>
      </c>
      <c r="I12" s="144">
        <f>61*25</f>
        <v>1525</v>
      </c>
      <c r="J12" s="145">
        <v>1150</v>
      </c>
      <c r="K12" s="145"/>
      <c r="L12" s="145"/>
      <c r="M12" s="145"/>
      <c r="N12" s="146">
        <f t="shared" si="1"/>
        <v>7975</v>
      </c>
    </row>
    <row r="13" spans="1:14" s="132" customFormat="1" ht="15" customHeight="1" x14ac:dyDescent="0.2">
      <c r="A13" s="129" t="s">
        <v>177</v>
      </c>
      <c r="B13" s="143"/>
      <c r="C13" s="143"/>
      <c r="D13" s="143">
        <f>69*25</f>
        <v>1725</v>
      </c>
      <c r="E13" s="143">
        <f>40*25</f>
        <v>1000</v>
      </c>
      <c r="F13" s="143">
        <f>62*25</f>
        <v>1550</v>
      </c>
      <c r="G13" s="143"/>
      <c r="H13" s="143"/>
      <c r="I13" s="144"/>
      <c r="J13" s="145"/>
      <c r="K13" s="131">
        <f>56*25</f>
        <v>1400</v>
      </c>
      <c r="L13" s="131">
        <f>45*25</f>
        <v>1125</v>
      </c>
      <c r="M13" s="131">
        <f>13*25</f>
        <v>325</v>
      </c>
      <c r="N13" s="146">
        <f t="shared" si="1"/>
        <v>7125</v>
      </c>
    </row>
    <row r="14" spans="1:14" s="132" customFormat="1" ht="15" customHeight="1" x14ac:dyDescent="0.2">
      <c r="A14" s="133" t="s">
        <v>178</v>
      </c>
      <c r="B14" s="147"/>
      <c r="C14" s="147"/>
      <c r="D14" s="147"/>
      <c r="E14" s="147"/>
      <c r="F14" s="147">
        <f>97*25</f>
        <v>2425</v>
      </c>
      <c r="G14" s="147">
        <f>(82*25)-(1*25)</f>
        <v>2025</v>
      </c>
      <c r="H14" s="147">
        <f>60*25</f>
        <v>1500</v>
      </c>
      <c r="I14" s="148">
        <f>53*25</f>
        <v>1325</v>
      </c>
      <c r="J14" s="149">
        <f>21*25</f>
        <v>525</v>
      </c>
      <c r="K14" s="149"/>
      <c r="L14" s="149"/>
      <c r="M14" s="149"/>
      <c r="N14" s="150">
        <f t="shared" si="1"/>
        <v>7800</v>
      </c>
    </row>
    <row r="15" spans="1:14" s="132" customFormat="1" ht="15" customHeight="1" x14ac:dyDescent="0.2">
      <c r="A15" s="133" t="s">
        <v>179</v>
      </c>
      <c r="B15" s="147"/>
      <c r="C15" s="147"/>
      <c r="D15" s="147">
        <f>70*25</f>
        <v>1750</v>
      </c>
      <c r="E15" s="147">
        <f>37*25</f>
        <v>925</v>
      </c>
      <c r="F15" s="147">
        <f>65*25</f>
        <v>1625</v>
      </c>
      <c r="G15" s="147"/>
      <c r="H15" s="147"/>
      <c r="I15" s="148"/>
      <c r="J15" s="149"/>
      <c r="K15" s="135">
        <f>(45*25)</f>
        <v>1125</v>
      </c>
      <c r="L15" s="135">
        <f>25*25</f>
        <v>625</v>
      </c>
      <c r="M15" s="135">
        <f>5*25</f>
        <v>125</v>
      </c>
      <c r="N15" s="150">
        <f t="shared" si="1"/>
        <v>6175</v>
      </c>
    </row>
    <row r="16" spans="1:14" s="132" customFormat="1" ht="15" customHeight="1" x14ac:dyDescent="0.2">
      <c r="A16" s="151" t="s">
        <v>180</v>
      </c>
      <c r="B16" s="152"/>
      <c r="C16" s="153"/>
      <c r="D16" s="153"/>
      <c r="E16" s="153"/>
      <c r="F16" s="153">
        <v>2</v>
      </c>
      <c r="G16" s="153">
        <v>52</v>
      </c>
      <c r="H16" s="153">
        <v>100</v>
      </c>
      <c r="I16" s="153">
        <v>60</v>
      </c>
      <c r="J16" s="153">
        <v>68</v>
      </c>
      <c r="K16" s="153">
        <v>1</v>
      </c>
      <c r="L16" s="153"/>
      <c r="M16" s="153"/>
      <c r="N16" s="153">
        <f t="shared" si="1"/>
        <v>283</v>
      </c>
    </row>
    <row r="17" spans="1:14" s="132" customFormat="1" ht="15" customHeight="1" x14ac:dyDescent="0.2">
      <c r="A17" s="151" t="s">
        <v>181</v>
      </c>
      <c r="B17" s="152">
        <v>4</v>
      </c>
      <c r="C17" s="153">
        <f>3+3</f>
        <v>6</v>
      </c>
      <c r="D17" s="153">
        <v>18</v>
      </c>
      <c r="E17" s="153">
        <v>2</v>
      </c>
      <c r="F17" s="153">
        <v>12</v>
      </c>
      <c r="G17" s="153"/>
      <c r="H17" s="153"/>
      <c r="I17" s="153"/>
      <c r="J17" s="153"/>
      <c r="K17" s="153">
        <v>27</v>
      </c>
      <c r="L17" s="153">
        <v>12</v>
      </c>
      <c r="M17" s="153">
        <v>15</v>
      </c>
      <c r="N17" s="153">
        <f t="shared" si="1"/>
        <v>96</v>
      </c>
    </row>
    <row r="18" spans="1:14" s="132" customFormat="1" ht="15" customHeight="1" x14ac:dyDescent="0.2">
      <c r="A18" s="154" t="s">
        <v>182</v>
      </c>
      <c r="B18" s="155"/>
      <c r="C18" s="156"/>
      <c r="D18" s="156"/>
      <c r="E18" s="156"/>
      <c r="F18" s="156">
        <v>17</v>
      </c>
      <c r="G18" s="156">
        <v>3006</v>
      </c>
      <c r="H18" s="156">
        <v>4173</v>
      </c>
      <c r="I18" s="156">
        <v>3352</v>
      </c>
      <c r="J18" s="156">
        <v>3340</v>
      </c>
      <c r="K18" s="156">
        <v>156</v>
      </c>
      <c r="L18" s="156"/>
      <c r="M18" s="156"/>
      <c r="N18" s="156">
        <f>SUM(B18:M18)</f>
        <v>14044</v>
      </c>
    </row>
    <row r="19" spans="1:14" s="132" customFormat="1" ht="15" customHeight="1" x14ac:dyDescent="0.2">
      <c r="A19" s="154" t="s">
        <v>183</v>
      </c>
      <c r="B19" s="155">
        <v>2162</v>
      </c>
      <c r="C19" s="156">
        <f>2339+354</f>
        <v>2693</v>
      </c>
      <c r="D19" s="156">
        <v>1635</v>
      </c>
      <c r="E19" s="156">
        <v>57</v>
      </c>
      <c r="F19" s="156"/>
      <c r="G19" s="156"/>
      <c r="H19" s="156"/>
      <c r="I19" s="156"/>
      <c r="J19" s="156">
        <v>8</v>
      </c>
      <c r="K19" s="156">
        <v>2652</v>
      </c>
      <c r="L19" s="156">
        <v>2186</v>
      </c>
      <c r="M19" s="156">
        <v>2983</v>
      </c>
      <c r="N19" s="156">
        <f>SUM(B19:M19)</f>
        <v>14376</v>
      </c>
    </row>
    <row r="20" spans="1:14" s="132" customFormat="1" ht="15" customHeight="1" x14ac:dyDescent="0.2">
      <c r="A20" s="157" t="s">
        <v>184</v>
      </c>
      <c r="B20" s="158"/>
      <c r="C20" s="159"/>
      <c r="D20" s="159"/>
      <c r="E20" s="159"/>
      <c r="F20" s="159">
        <v>33</v>
      </c>
      <c r="G20" s="159">
        <v>2127</v>
      </c>
      <c r="H20" s="159">
        <v>2467</v>
      </c>
      <c r="I20" s="159">
        <v>2311</v>
      </c>
      <c r="J20" s="159">
        <v>2153</v>
      </c>
      <c r="K20" s="159">
        <v>98</v>
      </c>
      <c r="L20" s="159"/>
      <c r="M20" s="159"/>
      <c r="N20" s="159">
        <f t="shared" ref="N20:N22" si="2">SUM(B20:M20)</f>
        <v>9189</v>
      </c>
    </row>
    <row r="21" spans="1:14" s="132" customFormat="1" ht="15" customHeight="1" x14ac:dyDescent="0.2">
      <c r="A21" s="157" t="s">
        <v>185</v>
      </c>
      <c r="B21" s="158">
        <v>1158</v>
      </c>
      <c r="C21" s="159">
        <f>1202+248</f>
        <v>1450</v>
      </c>
      <c r="D21" s="159">
        <v>1105</v>
      </c>
      <c r="E21" s="159"/>
      <c r="F21" s="159"/>
      <c r="G21" s="159"/>
      <c r="H21" s="159"/>
      <c r="I21" s="159"/>
      <c r="J21" s="159">
        <v>6</v>
      </c>
      <c r="K21" s="159">
        <v>2122</v>
      </c>
      <c r="L21" s="159">
        <v>1553</v>
      </c>
      <c r="M21" s="159">
        <v>2195</v>
      </c>
      <c r="N21" s="159">
        <f t="shared" si="2"/>
        <v>9589</v>
      </c>
    </row>
    <row r="22" spans="1:14" s="132" customFormat="1" ht="15" customHeight="1" x14ac:dyDescent="0.2">
      <c r="A22" s="154" t="s">
        <v>186</v>
      </c>
      <c r="B22" s="155"/>
      <c r="C22" s="156"/>
      <c r="D22" s="156">
        <f>4*20</f>
        <v>80</v>
      </c>
      <c r="E22" s="156"/>
      <c r="F22" s="156">
        <f>2*20</f>
        <v>40</v>
      </c>
      <c r="G22" s="156">
        <f>67*20</f>
        <v>1340</v>
      </c>
      <c r="H22" s="156">
        <f>35*20</f>
        <v>700</v>
      </c>
      <c r="I22" s="156">
        <f>30*20</f>
        <v>600</v>
      </c>
      <c r="J22" s="156">
        <f>21*20</f>
        <v>420</v>
      </c>
      <c r="K22" s="156">
        <f>(46*20)</f>
        <v>920</v>
      </c>
      <c r="L22" s="156">
        <f>35*20</f>
        <v>700</v>
      </c>
      <c r="M22" s="156">
        <f>9*20</f>
        <v>180</v>
      </c>
      <c r="N22" s="156">
        <f t="shared" si="2"/>
        <v>4980</v>
      </c>
    </row>
    <row r="23" spans="1:14" s="132" customFormat="1" ht="15" customHeight="1" x14ac:dyDescent="0.2">
      <c r="A23" s="157" t="s">
        <v>187</v>
      </c>
      <c r="B23" s="158"/>
      <c r="C23" s="159"/>
      <c r="D23" s="159"/>
      <c r="E23" s="159"/>
      <c r="F23" s="159">
        <f>9*20</f>
        <v>180</v>
      </c>
      <c r="G23" s="159">
        <f>97*20</f>
        <v>1940</v>
      </c>
      <c r="H23" s="159">
        <f>33*20</f>
        <v>660</v>
      </c>
      <c r="I23" s="159">
        <f>29*20</f>
        <v>580</v>
      </c>
      <c r="J23" s="159">
        <f>(12*20)+(2*20)</f>
        <v>280</v>
      </c>
      <c r="K23" s="159">
        <f>(48*20)</f>
        <v>960</v>
      </c>
      <c r="L23" s="159">
        <f>27*20</f>
        <v>540</v>
      </c>
      <c r="M23" s="159">
        <f>6*20</f>
        <v>120</v>
      </c>
      <c r="N23" s="159">
        <f>SUM(B23:M23)</f>
        <v>5260</v>
      </c>
    </row>
    <row r="24" spans="1:14" s="132" customFormat="1" ht="15" customHeight="1" x14ac:dyDescent="0.2">
      <c r="A24" s="160" t="s">
        <v>188</v>
      </c>
      <c r="B24" s="161"/>
      <c r="C24" s="162"/>
      <c r="D24" s="162"/>
      <c r="E24" s="162"/>
      <c r="F24" s="162"/>
      <c r="G24" s="162">
        <f>1*20</f>
        <v>20</v>
      </c>
      <c r="H24" s="162">
        <f>3*20</f>
        <v>60</v>
      </c>
      <c r="I24" s="163">
        <f>1*20</f>
        <v>20</v>
      </c>
      <c r="J24" s="162">
        <f>1*20</f>
        <v>20</v>
      </c>
      <c r="K24" s="162">
        <f>(2*20)</f>
        <v>40</v>
      </c>
      <c r="L24" s="162">
        <f>2*20</f>
        <v>40</v>
      </c>
      <c r="M24" s="162"/>
      <c r="N24" s="162">
        <f>SUM(B24:M24)</f>
        <v>200</v>
      </c>
    </row>
    <row r="25" spans="1:14" s="132" customFormat="1" ht="15" customHeight="1" x14ac:dyDescent="0.2">
      <c r="A25" s="164" t="s">
        <v>189</v>
      </c>
      <c r="B25" s="164"/>
      <c r="C25" s="164"/>
      <c r="D25" s="164">
        <f>1*5</f>
        <v>5</v>
      </c>
      <c r="E25" s="164"/>
      <c r="F25" s="164"/>
      <c r="G25" s="164">
        <f>3*5</f>
        <v>15</v>
      </c>
      <c r="H25" s="164">
        <f>5*5</f>
        <v>25</v>
      </c>
      <c r="I25" s="165">
        <f>1*5</f>
        <v>5</v>
      </c>
      <c r="J25" s="166">
        <f>1*5</f>
        <v>5</v>
      </c>
      <c r="K25" s="166">
        <f>4*5</f>
        <v>20</v>
      </c>
      <c r="L25" s="166">
        <f>5*5</f>
        <v>25</v>
      </c>
      <c r="M25" s="166"/>
      <c r="N25" s="167">
        <f t="shared" ref="N25:N34" si="3">SUM(B25:M25)</f>
        <v>100</v>
      </c>
    </row>
    <row r="26" spans="1:14" s="132" customFormat="1" ht="15" customHeight="1" x14ac:dyDescent="0.2">
      <c r="A26" s="168" t="s">
        <v>190</v>
      </c>
      <c r="B26" s="169"/>
      <c r="C26" s="170"/>
      <c r="D26" s="170"/>
      <c r="E26" s="170"/>
      <c r="F26" s="170">
        <v>1</v>
      </c>
      <c r="G26" s="170">
        <v>164</v>
      </c>
      <c r="H26" s="170">
        <v>164</v>
      </c>
      <c r="I26" s="170">
        <v>148</v>
      </c>
      <c r="J26" s="170">
        <v>125</v>
      </c>
      <c r="K26" s="170">
        <v>8</v>
      </c>
      <c r="L26" s="170"/>
      <c r="M26" s="170"/>
      <c r="N26" s="170">
        <f t="shared" si="3"/>
        <v>610</v>
      </c>
    </row>
    <row r="27" spans="1:14" s="132" customFormat="1" ht="15" customHeight="1" x14ac:dyDescent="0.2">
      <c r="A27" s="168" t="s">
        <v>191</v>
      </c>
      <c r="B27" s="169">
        <v>58</v>
      </c>
      <c r="C27" s="170">
        <f>76+18</f>
        <v>94</v>
      </c>
      <c r="D27" s="170">
        <v>169</v>
      </c>
      <c r="E27" s="170"/>
      <c r="F27" s="170"/>
      <c r="G27" s="170"/>
      <c r="H27" s="170"/>
      <c r="I27" s="170"/>
      <c r="J27" s="170"/>
      <c r="K27" s="170">
        <v>134</v>
      </c>
      <c r="L27" s="170">
        <v>101</v>
      </c>
      <c r="M27" s="170">
        <v>71</v>
      </c>
      <c r="N27" s="170">
        <f t="shared" si="3"/>
        <v>627</v>
      </c>
    </row>
    <row r="28" spans="1:14" s="132" customFormat="1" ht="15" customHeight="1" x14ac:dyDescent="0.2">
      <c r="A28" s="168" t="s">
        <v>192</v>
      </c>
      <c r="B28" s="169"/>
      <c r="C28" s="170"/>
      <c r="D28" s="170"/>
      <c r="E28" s="170"/>
      <c r="F28" s="170"/>
      <c r="G28" s="170">
        <v>173</v>
      </c>
      <c r="H28" s="170">
        <v>197</v>
      </c>
      <c r="I28" s="170">
        <v>127</v>
      </c>
      <c r="J28" s="170">
        <v>134</v>
      </c>
      <c r="K28" s="170">
        <v>10</v>
      </c>
      <c r="L28" s="170"/>
      <c r="M28" s="170"/>
      <c r="N28" s="170">
        <f t="shared" si="3"/>
        <v>641</v>
      </c>
    </row>
    <row r="29" spans="1:14" s="132" customFormat="1" ht="15" customHeight="1" x14ac:dyDescent="0.2">
      <c r="A29" s="168" t="s">
        <v>193</v>
      </c>
      <c r="B29" s="169">
        <v>84</v>
      </c>
      <c r="C29" s="170">
        <f>77+11</f>
        <v>88</v>
      </c>
      <c r="D29" s="170">
        <v>74</v>
      </c>
      <c r="E29" s="170"/>
      <c r="F29" s="170"/>
      <c r="G29" s="170"/>
      <c r="H29" s="170"/>
      <c r="I29" s="170"/>
      <c r="J29" s="170"/>
      <c r="K29" s="170">
        <v>97</v>
      </c>
      <c r="L29" s="170">
        <v>133</v>
      </c>
      <c r="M29" s="170">
        <v>59</v>
      </c>
      <c r="N29" s="170">
        <f t="shared" si="3"/>
        <v>535</v>
      </c>
    </row>
    <row r="30" spans="1:14" s="132" customFormat="1" ht="15" customHeight="1" x14ac:dyDescent="0.2">
      <c r="A30" s="168" t="s">
        <v>194</v>
      </c>
      <c r="B30" s="169"/>
      <c r="C30" s="170"/>
      <c r="D30" s="170"/>
      <c r="E30" s="170"/>
      <c r="F30" s="170"/>
      <c r="G30" s="170">
        <v>60</v>
      </c>
      <c r="H30" s="170">
        <v>69</v>
      </c>
      <c r="I30" s="170">
        <v>38</v>
      </c>
      <c r="J30" s="170">
        <v>35</v>
      </c>
      <c r="K30" s="170">
        <v>1</v>
      </c>
      <c r="L30" s="170"/>
      <c r="M30" s="170"/>
      <c r="N30" s="170">
        <f t="shared" si="3"/>
        <v>203</v>
      </c>
    </row>
    <row r="31" spans="1:14" s="132" customFormat="1" ht="15" customHeight="1" x14ac:dyDescent="0.2">
      <c r="A31" s="168" t="s">
        <v>195</v>
      </c>
      <c r="B31" s="169">
        <v>11</v>
      </c>
      <c r="C31" s="170">
        <f>15+5</f>
        <v>20</v>
      </c>
      <c r="D31" s="170">
        <v>26</v>
      </c>
      <c r="E31" s="170"/>
      <c r="F31" s="170"/>
      <c r="G31" s="170"/>
      <c r="H31" s="170"/>
      <c r="I31" s="170"/>
      <c r="J31" s="170"/>
      <c r="K31" s="170">
        <v>27</v>
      </c>
      <c r="L31" s="170">
        <v>35</v>
      </c>
      <c r="M31" s="170">
        <v>14</v>
      </c>
      <c r="N31" s="170">
        <f t="shared" si="3"/>
        <v>133</v>
      </c>
    </row>
    <row r="32" spans="1:14" s="132" customFormat="1" ht="15" customHeight="1" x14ac:dyDescent="0.2">
      <c r="A32" s="168" t="s">
        <v>196</v>
      </c>
      <c r="B32" s="169"/>
      <c r="C32" s="170"/>
      <c r="D32" s="170"/>
      <c r="E32" s="170"/>
      <c r="F32" s="170"/>
      <c r="G32" s="170">
        <v>21</v>
      </c>
      <c r="H32" s="170">
        <v>25</v>
      </c>
      <c r="I32" s="170">
        <v>17</v>
      </c>
      <c r="J32" s="170">
        <v>15</v>
      </c>
      <c r="K32" s="170"/>
      <c r="L32" s="170"/>
      <c r="M32" s="170"/>
      <c r="N32" s="170">
        <f t="shared" si="3"/>
        <v>78</v>
      </c>
    </row>
    <row r="33" spans="1:20" s="132" customFormat="1" ht="15" customHeight="1" x14ac:dyDescent="0.2">
      <c r="A33" s="168" t="s">
        <v>197</v>
      </c>
      <c r="B33" s="169">
        <v>12</v>
      </c>
      <c r="C33" s="170">
        <f>3+1</f>
        <v>4</v>
      </c>
      <c r="D33" s="170">
        <v>11</v>
      </c>
      <c r="E33" s="170"/>
      <c r="F33" s="170"/>
      <c r="G33" s="170"/>
      <c r="H33" s="170"/>
      <c r="I33" s="170"/>
      <c r="J33" s="170"/>
      <c r="K33" s="170">
        <v>15</v>
      </c>
      <c r="L33" s="170">
        <v>6</v>
      </c>
      <c r="M33" s="170">
        <v>5</v>
      </c>
      <c r="N33" s="170">
        <f t="shared" si="3"/>
        <v>53</v>
      </c>
    </row>
    <row r="34" spans="1:20" s="132" customFormat="1" ht="15" customHeight="1" x14ac:dyDescent="0.2">
      <c r="A34" s="168" t="s">
        <v>198</v>
      </c>
      <c r="B34" s="169">
        <v>6</v>
      </c>
      <c r="C34" s="170">
        <f>1+1</f>
        <v>2</v>
      </c>
      <c r="D34" s="170">
        <v>4</v>
      </c>
      <c r="E34" s="170"/>
      <c r="F34" s="170"/>
      <c r="G34" s="170">
        <v>6</v>
      </c>
      <c r="H34" s="171">
        <v>5</v>
      </c>
      <c r="I34" s="170">
        <v>5</v>
      </c>
      <c r="J34" s="170">
        <v>13</v>
      </c>
      <c r="K34" s="170">
        <f>12+1</f>
        <v>13</v>
      </c>
      <c r="L34" s="170">
        <v>2</v>
      </c>
      <c r="M34" s="170"/>
      <c r="N34" s="170">
        <f t="shared" si="3"/>
        <v>56</v>
      </c>
    </row>
    <row r="35" spans="1:20" s="132" customFormat="1" ht="15" customHeight="1" x14ac:dyDescent="0.2">
      <c r="A35" s="172" t="s">
        <v>199</v>
      </c>
      <c r="B35" s="172"/>
      <c r="C35" s="172"/>
      <c r="D35" s="172"/>
      <c r="E35" s="172"/>
      <c r="F35" s="172"/>
      <c r="G35" s="172">
        <f>33*5</f>
        <v>165</v>
      </c>
      <c r="H35" s="172">
        <f>12*5</f>
        <v>60</v>
      </c>
      <c r="I35" s="173">
        <f>8*5</f>
        <v>40</v>
      </c>
      <c r="J35" s="174">
        <f>9*5</f>
        <v>45</v>
      </c>
      <c r="K35" s="174">
        <f>1*5</f>
        <v>5</v>
      </c>
      <c r="L35" s="174"/>
      <c r="M35" s="174"/>
      <c r="N35" s="175">
        <f>SUM(B35:M35)</f>
        <v>315</v>
      </c>
    </row>
    <row r="36" spans="1:20" s="132" customFormat="1" ht="15" customHeight="1" x14ac:dyDescent="0.2">
      <c r="A36" s="172" t="s">
        <v>200</v>
      </c>
      <c r="B36" s="172"/>
      <c r="C36" s="172"/>
      <c r="D36" s="172">
        <f>1*5</f>
        <v>5</v>
      </c>
      <c r="E36" s="172"/>
      <c r="F36" s="172"/>
      <c r="G36" s="172"/>
      <c r="H36" s="172"/>
      <c r="I36" s="173"/>
      <c r="J36" s="174"/>
      <c r="K36" s="174">
        <f>14*5</f>
        <v>70</v>
      </c>
      <c r="L36" s="174">
        <f>6*5</f>
        <v>30</v>
      </c>
      <c r="M36" s="174">
        <f>8*5</f>
        <v>40</v>
      </c>
      <c r="N36" s="175">
        <f t="shared" ref="N36:N42" si="4">SUM(B36:M36)</f>
        <v>145</v>
      </c>
    </row>
    <row r="37" spans="1:20" s="132" customFormat="1" ht="15" customHeight="1" x14ac:dyDescent="0.2">
      <c r="A37" s="172" t="s">
        <v>201</v>
      </c>
      <c r="B37" s="172"/>
      <c r="C37" s="172"/>
      <c r="D37" s="172"/>
      <c r="E37" s="172"/>
      <c r="F37" s="172"/>
      <c r="G37" s="172">
        <f>7*5</f>
        <v>35</v>
      </c>
      <c r="H37" s="172">
        <f>5*5</f>
        <v>25</v>
      </c>
      <c r="I37" s="173">
        <f>2*5</f>
        <v>10</v>
      </c>
      <c r="J37" s="174">
        <f>2*5</f>
        <v>10</v>
      </c>
      <c r="K37" s="174"/>
      <c r="L37" s="174"/>
      <c r="M37" s="174"/>
      <c r="N37" s="175">
        <f t="shared" si="4"/>
        <v>80</v>
      </c>
    </row>
    <row r="38" spans="1:20" s="132" customFormat="1" ht="15" customHeight="1" x14ac:dyDescent="0.2">
      <c r="A38" s="172" t="s">
        <v>202</v>
      </c>
      <c r="B38" s="172"/>
      <c r="C38" s="172"/>
      <c r="D38" s="172">
        <f>2*5</f>
        <v>10</v>
      </c>
      <c r="E38" s="172"/>
      <c r="F38" s="172"/>
      <c r="G38" s="172"/>
      <c r="H38" s="172"/>
      <c r="I38" s="173"/>
      <c r="J38" s="174"/>
      <c r="K38" s="174">
        <f>6*5</f>
        <v>30</v>
      </c>
      <c r="L38" s="174">
        <f>9*5</f>
        <v>45</v>
      </c>
      <c r="M38" s="174"/>
      <c r="N38" s="175">
        <f t="shared" si="4"/>
        <v>85</v>
      </c>
    </row>
    <row r="39" spans="1:20" s="132" customFormat="1" ht="15" customHeight="1" x14ac:dyDescent="0.2">
      <c r="A39" s="172" t="s">
        <v>203</v>
      </c>
      <c r="B39" s="172"/>
      <c r="C39" s="172"/>
      <c r="D39" s="172"/>
      <c r="E39" s="172"/>
      <c r="F39" s="172"/>
      <c r="G39" s="172">
        <f>2*5</f>
        <v>10</v>
      </c>
      <c r="H39" s="172">
        <f>1*5</f>
        <v>5</v>
      </c>
      <c r="I39" s="173">
        <f>1*5</f>
        <v>5</v>
      </c>
      <c r="J39" s="174"/>
      <c r="K39" s="174">
        <f>1*5</f>
        <v>5</v>
      </c>
      <c r="L39" s="174"/>
      <c r="M39" s="174"/>
      <c r="N39" s="175">
        <f t="shared" si="4"/>
        <v>25</v>
      </c>
    </row>
    <row r="40" spans="1:20" s="132" customFormat="1" ht="15" customHeight="1" x14ac:dyDescent="0.2">
      <c r="A40" s="172" t="s">
        <v>204</v>
      </c>
      <c r="B40" s="172"/>
      <c r="C40" s="172"/>
      <c r="D40" s="172"/>
      <c r="E40" s="172"/>
      <c r="F40" s="172"/>
      <c r="G40" s="172"/>
      <c r="H40" s="172"/>
      <c r="I40" s="173"/>
      <c r="J40" s="174"/>
      <c r="K40" s="174"/>
      <c r="L40" s="174">
        <f>3*5</f>
        <v>15</v>
      </c>
      <c r="M40" s="174">
        <f>1*5</f>
        <v>5</v>
      </c>
      <c r="N40" s="175">
        <f t="shared" si="4"/>
        <v>20</v>
      </c>
    </row>
    <row r="41" spans="1:20" s="132" customFormat="1" ht="15" customHeight="1" x14ac:dyDescent="0.2">
      <c r="A41" s="172" t="s">
        <v>205</v>
      </c>
      <c r="B41" s="172"/>
      <c r="C41" s="172"/>
      <c r="D41" s="172"/>
      <c r="E41" s="172"/>
      <c r="F41" s="172"/>
      <c r="G41" s="172"/>
      <c r="H41" s="172"/>
      <c r="I41" s="173"/>
      <c r="J41" s="174">
        <f>1*5</f>
        <v>5</v>
      </c>
      <c r="K41" s="174"/>
      <c r="L41" s="174"/>
      <c r="M41" s="174"/>
      <c r="N41" s="175">
        <f t="shared" si="4"/>
        <v>5</v>
      </c>
    </row>
    <row r="42" spans="1:20" x14ac:dyDescent="0.2">
      <c r="A42" s="172" t="s">
        <v>206</v>
      </c>
      <c r="B42" s="172"/>
      <c r="C42" s="172"/>
      <c r="D42" s="172"/>
      <c r="E42" s="172"/>
      <c r="F42" s="172"/>
      <c r="G42" s="172"/>
      <c r="H42" s="172"/>
      <c r="I42" s="173"/>
      <c r="J42" s="174"/>
      <c r="K42" s="174">
        <f>1*5</f>
        <v>5</v>
      </c>
      <c r="L42" s="174">
        <f>2*5</f>
        <v>10</v>
      </c>
      <c r="M42" s="174"/>
      <c r="N42" s="175">
        <f t="shared" si="4"/>
        <v>15</v>
      </c>
    </row>
    <row r="43" spans="1:20" x14ac:dyDescent="0.2">
      <c r="A43" s="176" t="s">
        <v>207</v>
      </c>
      <c r="B43" s="132">
        <f t="shared" ref="B43:N43" si="5">SUM(B4:B42)</f>
        <v>6602</v>
      </c>
      <c r="C43" s="132">
        <f t="shared" si="5"/>
        <v>7262</v>
      </c>
      <c r="D43" s="177">
        <f t="shared" si="5"/>
        <v>10425</v>
      </c>
      <c r="E43" s="132">
        <f t="shared" si="5"/>
        <v>4032</v>
      </c>
      <c r="F43" s="132">
        <f t="shared" si="5"/>
        <v>19351</v>
      </c>
      <c r="G43" s="132">
        <f t="shared" si="5"/>
        <v>18803</v>
      </c>
      <c r="H43" s="132">
        <f t="shared" si="5"/>
        <v>20676</v>
      </c>
      <c r="I43" s="132">
        <f t="shared" si="5"/>
        <v>17371</v>
      </c>
      <c r="J43" s="177">
        <f t="shared" si="5"/>
        <v>14652</v>
      </c>
      <c r="K43" s="132">
        <f t="shared" si="5"/>
        <v>13629</v>
      </c>
      <c r="L43" s="132">
        <f t="shared" si="5"/>
        <v>9781</v>
      </c>
      <c r="M43" s="132">
        <f t="shared" si="5"/>
        <v>9985</v>
      </c>
      <c r="N43" s="132">
        <f t="shared" si="5"/>
        <v>152569</v>
      </c>
    </row>
    <row r="44" spans="1:20" s="178" customFormat="1" x14ac:dyDescent="0.2">
      <c r="A44" s="123"/>
      <c r="B44" s="123"/>
      <c r="C44" s="123"/>
      <c r="D44" s="123"/>
      <c r="E44" s="123"/>
      <c r="F44" s="123"/>
      <c r="G44" s="123"/>
      <c r="H44" s="123"/>
      <c r="I44" s="123"/>
      <c r="J44" s="123"/>
      <c r="K44" s="123"/>
      <c r="L44" s="123"/>
      <c r="M44" s="123"/>
      <c r="N44" s="123"/>
      <c r="O44" s="123"/>
      <c r="P44" s="123"/>
      <c r="Q44" s="123"/>
      <c r="R44" s="123"/>
      <c r="S44" s="123"/>
      <c r="T44" s="123"/>
    </row>
    <row r="45" spans="1:20" s="178" customFormat="1" x14ac:dyDescent="0.2">
      <c r="A45" s="123"/>
      <c r="B45" s="123"/>
      <c r="C45" s="123"/>
      <c r="D45" s="123"/>
      <c r="E45" s="123"/>
      <c r="F45" s="123"/>
      <c r="G45" s="123"/>
      <c r="H45" s="123"/>
      <c r="I45" s="123"/>
      <c r="J45" s="123"/>
      <c r="K45" s="123"/>
      <c r="L45" s="123"/>
      <c r="M45" s="123"/>
      <c r="N45" s="123"/>
      <c r="O45" s="123"/>
      <c r="P45" s="123"/>
      <c r="Q45" s="123"/>
      <c r="R45" s="123"/>
      <c r="S45" s="123"/>
      <c r="T45" s="123"/>
    </row>
    <row r="46" spans="1:20" s="178" customFormat="1" x14ac:dyDescent="0.2">
      <c r="A46" s="123"/>
      <c r="B46" s="123"/>
      <c r="C46" s="123"/>
      <c r="D46" s="123"/>
      <c r="E46" s="123"/>
      <c r="F46" s="123"/>
      <c r="G46" s="123"/>
      <c r="H46" s="123"/>
      <c r="I46" s="123"/>
      <c r="J46" s="123"/>
      <c r="K46" s="123"/>
      <c r="L46" s="123"/>
      <c r="M46" s="123"/>
      <c r="N46" s="123"/>
      <c r="O46" s="123"/>
      <c r="P46" s="123"/>
      <c r="Q46" s="123"/>
      <c r="R46" s="123"/>
      <c r="S46" s="123"/>
      <c r="T46" s="123"/>
    </row>
    <row r="47" spans="1:20" s="178" customFormat="1" x14ac:dyDescent="0.2">
      <c r="A47" s="123"/>
      <c r="B47" s="123"/>
      <c r="C47" s="123"/>
      <c r="D47" s="123"/>
      <c r="E47" s="123"/>
      <c r="F47" s="123"/>
      <c r="G47" s="123"/>
      <c r="H47" s="123"/>
      <c r="I47" s="123"/>
      <c r="J47" s="123"/>
      <c r="K47" s="123"/>
      <c r="L47" s="123"/>
      <c r="M47" s="123"/>
      <c r="N47" s="123"/>
      <c r="O47" s="123"/>
      <c r="P47" s="123"/>
      <c r="Q47" s="123"/>
      <c r="R47" s="123"/>
      <c r="S47" s="123"/>
      <c r="T47" s="123"/>
    </row>
    <row r="48" spans="1:20" s="178" customFormat="1" x14ac:dyDescent="0.2">
      <c r="A48" s="123"/>
      <c r="B48" s="123"/>
      <c r="C48" s="123"/>
      <c r="D48" s="123"/>
      <c r="E48" s="123"/>
      <c r="F48" s="123"/>
      <c r="G48" s="123"/>
      <c r="H48" s="123"/>
      <c r="I48" s="123"/>
      <c r="J48" s="123"/>
      <c r="K48" s="123"/>
      <c r="L48" s="123"/>
      <c r="M48" s="123"/>
      <c r="N48" s="123"/>
      <c r="O48" s="123"/>
      <c r="P48" s="123"/>
      <c r="Q48" s="123"/>
      <c r="R48" s="123"/>
      <c r="S48" s="123"/>
      <c r="T48" s="123"/>
    </row>
    <row r="49" spans="1:20" s="178" customFormat="1" x14ac:dyDescent="0.2">
      <c r="A49" s="123"/>
      <c r="B49" s="123"/>
      <c r="C49" s="123"/>
      <c r="D49" s="123"/>
      <c r="E49" s="123"/>
      <c r="F49" s="123"/>
      <c r="G49" s="123"/>
      <c r="H49" s="123"/>
      <c r="I49" s="123"/>
      <c r="J49" s="123"/>
      <c r="K49" s="123"/>
      <c r="L49" s="123"/>
      <c r="M49" s="123"/>
      <c r="N49" s="123"/>
      <c r="O49" s="123"/>
      <c r="P49" s="123"/>
      <c r="Q49" s="123"/>
      <c r="R49" s="123"/>
      <c r="S49" s="123"/>
      <c r="T49" s="123"/>
    </row>
    <row r="50" spans="1:20" s="178" customFormat="1" x14ac:dyDescent="0.2">
      <c r="A50" s="123"/>
      <c r="B50" s="123"/>
      <c r="C50" s="123"/>
      <c r="D50" s="123"/>
      <c r="E50" s="123"/>
      <c r="F50" s="123"/>
      <c r="G50" s="123"/>
      <c r="H50" s="123"/>
      <c r="I50" s="123"/>
      <c r="J50" s="123"/>
      <c r="K50" s="123"/>
      <c r="L50" s="123"/>
      <c r="M50" s="123"/>
      <c r="N50" s="123"/>
      <c r="O50" s="123"/>
      <c r="P50" s="123"/>
      <c r="Q50" s="123"/>
      <c r="R50" s="123"/>
      <c r="S50" s="123"/>
      <c r="T50" s="123"/>
    </row>
  </sheetData>
  <pageMargins left="0.7" right="0.7" top="0.75" bottom="0.75" header="0.3" footer="0.3"/>
  <pageSetup scale="6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79F32-ED07-4BAD-84FF-A23F7DE7FDA2}">
  <sheetPr>
    <pageSetUpPr fitToPage="1"/>
  </sheetPr>
  <dimension ref="A1:O76"/>
  <sheetViews>
    <sheetView zoomScale="120" zoomScaleNormal="120" workbookViewId="0">
      <pane ySplit="1" topLeftCell="A57" activePane="bottomLeft" state="frozen"/>
      <selection pane="bottomLeft" activeCell="H45" sqref="H45"/>
    </sheetView>
  </sheetViews>
  <sheetFormatPr defaultColWidth="9" defaultRowHeight="15" x14ac:dyDescent="0.25"/>
  <cols>
    <col min="1" max="1" width="9" style="221"/>
    <col min="2" max="2" width="12.75" style="221" customWidth="1"/>
    <col min="3" max="3" width="24.875" style="221" customWidth="1"/>
    <col min="4" max="4" width="14.875" style="221" customWidth="1"/>
    <col min="5" max="6" width="10.75" style="221" customWidth="1"/>
    <col min="7" max="7" width="14.5" style="221" customWidth="1"/>
    <col min="8" max="9" width="10.75" style="221" customWidth="1"/>
    <col min="10" max="10" width="14.5" style="221" customWidth="1"/>
    <col min="11" max="11" width="12.375" style="221" customWidth="1"/>
    <col min="12" max="12" width="15.875" style="221" customWidth="1"/>
    <col min="13" max="13" width="12.125" style="221" bestFit="1" customWidth="1"/>
    <col min="14" max="16384" width="9" style="221"/>
  </cols>
  <sheetData>
    <row r="1" spans="1:13" ht="48" customHeight="1" x14ac:dyDescent="0.25">
      <c r="A1" s="220"/>
      <c r="D1" s="222" t="s">
        <v>307</v>
      </c>
      <c r="E1" s="222" t="s">
        <v>308</v>
      </c>
      <c r="F1" s="222" t="s">
        <v>309</v>
      </c>
      <c r="G1" s="222" t="s">
        <v>482</v>
      </c>
      <c r="H1" s="222" t="s">
        <v>483</v>
      </c>
      <c r="I1" s="222" t="s">
        <v>484</v>
      </c>
      <c r="J1" s="222" t="s">
        <v>310</v>
      </c>
      <c r="K1" s="222" t="s">
        <v>311</v>
      </c>
      <c r="L1" s="222" t="s">
        <v>312</v>
      </c>
    </row>
    <row r="2" spans="1:13" x14ac:dyDescent="0.25">
      <c r="B2" s="549" t="s">
        <v>313</v>
      </c>
      <c r="C2" s="550"/>
      <c r="D2" s="550"/>
      <c r="E2" s="550"/>
      <c r="F2" s="550"/>
      <c r="G2" s="550"/>
      <c r="H2" s="550"/>
      <c r="I2" s="449"/>
      <c r="J2" s="223"/>
      <c r="K2" s="224"/>
      <c r="L2" s="224"/>
    </row>
    <row r="3" spans="1:13" ht="15.75" x14ac:dyDescent="0.25">
      <c r="B3" s="225">
        <v>1100</v>
      </c>
      <c r="C3" s="226" t="s">
        <v>314</v>
      </c>
      <c r="D3" s="227">
        <v>975806</v>
      </c>
      <c r="E3" s="228">
        <f>D3/B55</f>
        <v>173.72369592309062</v>
      </c>
      <c r="F3" s="228">
        <f>D3/E55</f>
        <v>116.0982748364069</v>
      </c>
      <c r="G3" s="227">
        <v>1110331</v>
      </c>
      <c r="H3" s="228">
        <f>G3/B55</f>
        <v>197.67331315648923</v>
      </c>
      <c r="I3" s="450">
        <f>G3/E55</f>
        <v>132.10362879238548</v>
      </c>
      <c r="J3" s="229">
        <f>AVERAGE(G3,D3)</f>
        <v>1043068.5</v>
      </c>
      <c r="K3" s="228">
        <f>AVERAGE(H3,E3)</f>
        <v>185.69850453978992</v>
      </c>
      <c r="L3" s="228">
        <f>AVERAGE(I3,F3)</f>
        <v>124.10095181439618</v>
      </c>
    </row>
    <row r="4" spans="1:13" ht="15.75" x14ac:dyDescent="0.25">
      <c r="B4" s="225">
        <v>1190</v>
      </c>
      <c r="C4" s="226" t="s">
        <v>315</v>
      </c>
      <c r="D4" s="227"/>
      <c r="E4" s="228"/>
      <c r="F4" s="228"/>
      <c r="G4" s="227"/>
      <c r="H4" s="228"/>
      <c r="I4" s="450"/>
      <c r="J4" s="229"/>
      <c r="K4" s="228"/>
      <c r="L4" s="228"/>
    </row>
    <row r="5" spans="1:13" ht="15.75" x14ac:dyDescent="0.25">
      <c r="B5" s="225">
        <v>1200</v>
      </c>
      <c r="C5" s="226" t="s">
        <v>316</v>
      </c>
      <c r="D5" s="227">
        <v>517096</v>
      </c>
      <c r="E5" s="228">
        <f>D5/B55</f>
        <v>92.059106284493495</v>
      </c>
      <c r="F5" s="228">
        <f>D5/E55</f>
        <v>61.522427126710291</v>
      </c>
      <c r="G5" s="227">
        <v>352561</v>
      </c>
      <c r="H5" s="228">
        <f>G5/B55</f>
        <v>62.766779419619013</v>
      </c>
      <c r="I5" s="450">
        <f>G5/E55</f>
        <v>41.94657941701368</v>
      </c>
      <c r="J5" s="229">
        <f t="shared" ref="J5:L8" si="0">AVERAGE(G5,D5)</f>
        <v>434828.5</v>
      </c>
      <c r="K5" s="228">
        <f t="shared" si="0"/>
        <v>77.412942852056261</v>
      </c>
      <c r="L5" s="228">
        <f t="shared" si="0"/>
        <v>51.734503271861982</v>
      </c>
    </row>
    <row r="6" spans="1:13" ht="15.75" x14ac:dyDescent="0.25">
      <c r="B6" s="225">
        <v>1300</v>
      </c>
      <c r="C6" s="226" t="s">
        <v>317</v>
      </c>
      <c r="D6" s="227">
        <v>56746</v>
      </c>
      <c r="E6" s="228">
        <f>D6/B55</f>
        <v>10.102545842976678</v>
      </c>
      <c r="F6" s="228">
        <f>D6/E55</f>
        <v>6.7514574657941697</v>
      </c>
      <c r="G6" s="227">
        <v>58550</v>
      </c>
      <c r="H6" s="228">
        <f>G6/B55</f>
        <v>10.423713726188357</v>
      </c>
      <c r="I6" s="450">
        <f>G6/E55</f>
        <v>6.9660916121356333</v>
      </c>
      <c r="J6" s="229">
        <f t="shared" si="0"/>
        <v>57648</v>
      </c>
      <c r="K6" s="228">
        <f t="shared" si="0"/>
        <v>10.263129784582517</v>
      </c>
      <c r="L6" s="228">
        <f t="shared" si="0"/>
        <v>6.8587745389649015</v>
      </c>
    </row>
    <row r="7" spans="1:13" ht="15.75" x14ac:dyDescent="0.25">
      <c r="B7" s="225">
        <v>1500</v>
      </c>
      <c r="C7" s="226" t="s">
        <v>318</v>
      </c>
      <c r="D7" s="227">
        <v>14754</v>
      </c>
      <c r="E7" s="228">
        <f>D7/B55</f>
        <v>2.6266690404130317</v>
      </c>
      <c r="F7" s="228">
        <f>D7/E55</f>
        <v>1.7553837001784651</v>
      </c>
      <c r="G7" s="227">
        <v>20697</v>
      </c>
      <c r="H7" s="228">
        <f>G7/B55</f>
        <v>3.6847071390421933</v>
      </c>
      <c r="I7" s="450">
        <f>G7/E55</f>
        <v>2.4624628197501486</v>
      </c>
      <c r="J7" s="229">
        <f t="shared" si="0"/>
        <v>17725.5</v>
      </c>
      <c r="K7" s="228">
        <f t="shared" si="0"/>
        <v>3.1556880897276125</v>
      </c>
      <c r="L7" s="228">
        <f t="shared" si="0"/>
        <v>2.1089232599643069</v>
      </c>
    </row>
    <row r="8" spans="1:13" ht="15.75" x14ac:dyDescent="0.25">
      <c r="B8" s="230" t="s">
        <v>319</v>
      </c>
      <c r="C8" s="231" t="s">
        <v>320</v>
      </c>
      <c r="D8" s="232">
        <f t="shared" ref="D8:I8" si="1">SUM(D3:D7)</f>
        <v>1564402</v>
      </c>
      <c r="E8" s="233">
        <f t="shared" si="1"/>
        <v>278.51201709097381</v>
      </c>
      <c r="F8" s="233">
        <f t="shared" si="1"/>
        <v>186.12754312908984</v>
      </c>
      <c r="G8" s="232">
        <f t="shared" si="1"/>
        <v>1542139</v>
      </c>
      <c r="H8" s="233">
        <f t="shared" si="1"/>
        <v>274.54851344133874</v>
      </c>
      <c r="I8" s="233">
        <f t="shared" si="1"/>
        <v>183.47876264128496</v>
      </c>
      <c r="J8" s="448">
        <f t="shared" si="0"/>
        <v>1553270.5</v>
      </c>
      <c r="K8" s="233">
        <f t="shared" si="0"/>
        <v>276.53026526615628</v>
      </c>
      <c r="L8" s="233">
        <f t="shared" si="0"/>
        <v>184.80315288518739</v>
      </c>
      <c r="M8" s="229"/>
    </row>
    <row r="9" spans="1:13" ht="15.75" x14ac:dyDescent="0.25">
      <c r="B9" s="234"/>
      <c r="C9" s="235"/>
      <c r="D9" s="236"/>
      <c r="E9" s="237"/>
      <c r="F9" s="237"/>
      <c r="G9" s="237"/>
      <c r="H9" s="238"/>
      <c r="I9" s="226"/>
    </row>
    <row r="10" spans="1:13" x14ac:dyDescent="0.25">
      <c r="B10" s="551" t="s">
        <v>321</v>
      </c>
      <c r="C10" s="551"/>
      <c r="D10" s="551"/>
      <c r="E10" s="551"/>
      <c r="F10" s="551"/>
      <c r="G10" s="551"/>
      <c r="H10" s="551"/>
      <c r="I10" s="449"/>
      <c r="J10" s="240"/>
      <c r="K10" s="224"/>
      <c r="L10" s="224"/>
    </row>
    <row r="11" spans="1:13" ht="15.75" x14ac:dyDescent="0.25">
      <c r="B11" s="225">
        <v>2100</v>
      </c>
      <c r="C11" s="226" t="s">
        <v>322</v>
      </c>
      <c r="D11" s="227">
        <v>114204</v>
      </c>
      <c r="E11" s="228">
        <f>D11/B55</f>
        <v>20.331849741855084</v>
      </c>
      <c r="F11" s="228">
        <f>D11/E55</f>
        <v>13.587626412849493</v>
      </c>
      <c r="G11" s="227">
        <v>118299</v>
      </c>
      <c r="H11" s="228">
        <f>G11/B55</f>
        <v>21.060886594267402</v>
      </c>
      <c r="I11" s="450">
        <f>G11/E55</f>
        <v>14.074836406900655</v>
      </c>
      <c r="J11" s="229">
        <f>AVERAGE(G11,D11)</f>
        <v>116251.5</v>
      </c>
      <c r="K11" s="228">
        <f>AVERAGE(H11,E11)</f>
        <v>20.696368168061241</v>
      </c>
      <c r="L11" s="228">
        <f>AVERAGE(I11,F11)</f>
        <v>13.831231409875073</v>
      </c>
    </row>
    <row r="12" spans="1:13" ht="15.75" x14ac:dyDescent="0.25">
      <c r="B12" s="225">
        <v>2200</v>
      </c>
      <c r="C12" s="226" t="s">
        <v>323</v>
      </c>
      <c r="D12" s="227">
        <v>64229</v>
      </c>
      <c r="E12" s="228">
        <f>D12/B55</f>
        <v>11.434751646786541</v>
      </c>
      <c r="F12" s="228">
        <f>D12/E55</f>
        <v>7.6417608566329562</v>
      </c>
      <c r="G12" s="227">
        <v>67303</v>
      </c>
      <c r="H12" s="228">
        <f>G12/B55</f>
        <v>11.982018871283604</v>
      </c>
      <c r="I12" s="450">
        <f>G12/E55</f>
        <v>8.0074955383700175</v>
      </c>
      <c r="J12" s="229">
        <f t="shared" ref="J12:L17" si="2">AVERAGE(G12,D12)</f>
        <v>65766</v>
      </c>
      <c r="K12" s="228">
        <f t="shared" si="2"/>
        <v>11.708385259035072</v>
      </c>
      <c r="L12" s="228">
        <f t="shared" si="2"/>
        <v>7.8246281975014869</v>
      </c>
    </row>
    <row r="13" spans="1:13" ht="15.75" x14ac:dyDescent="0.25">
      <c r="B13" s="225">
        <v>2300</v>
      </c>
      <c r="C13" s="226" t="s">
        <v>324</v>
      </c>
      <c r="D13" s="227">
        <v>3085</v>
      </c>
      <c r="E13" s="228">
        <f>D13/B55</f>
        <v>0.5492255652483532</v>
      </c>
      <c r="F13" s="228">
        <f>D13/E55</f>
        <v>0.36704342653182631</v>
      </c>
      <c r="G13" s="227">
        <v>3445</v>
      </c>
      <c r="H13" s="228">
        <f>G13/B55</f>
        <v>0.61331671710877689</v>
      </c>
      <c r="I13" s="450">
        <f>G13/E55</f>
        <v>0.40987507436049969</v>
      </c>
      <c r="J13" s="229">
        <f t="shared" si="2"/>
        <v>3265</v>
      </c>
      <c r="K13" s="228">
        <f t="shared" si="2"/>
        <v>0.58127114117856504</v>
      </c>
      <c r="L13" s="228">
        <f t="shared" si="2"/>
        <v>0.38845925044616303</v>
      </c>
    </row>
    <row r="14" spans="1:13" ht="15.75" x14ac:dyDescent="0.25">
      <c r="B14" s="225">
        <v>2400</v>
      </c>
      <c r="C14" s="226" t="s">
        <v>325</v>
      </c>
      <c r="D14" s="227">
        <v>282432</v>
      </c>
      <c r="E14" s="228">
        <f>D14/B55</f>
        <v>50.281645006231081</v>
      </c>
      <c r="F14" s="228">
        <f>D14/E55</f>
        <v>33.602855443188581</v>
      </c>
      <c r="G14" s="227">
        <v>299644</v>
      </c>
      <c r="H14" s="228">
        <f>G14/B55</f>
        <v>53.3459141890689</v>
      </c>
      <c r="I14" s="450">
        <f>G14/E55</f>
        <v>35.650684116597262</v>
      </c>
      <c r="J14" s="229">
        <f t="shared" si="2"/>
        <v>291038</v>
      </c>
      <c r="K14" s="228">
        <f t="shared" si="2"/>
        <v>51.81377959764999</v>
      </c>
      <c r="L14" s="228">
        <f t="shared" si="2"/>
        <v>34.626769779892925</v>
      </c>
    </row>
    <row r="15" spans="1:13" ht="15.75" x14ac:dyDescent="0.25">
      <c r="B15" s="225">
        <v>2820</v>
      </c>
      <c r="C15" s="226" t="s">
        <v>326</v>
      </c>
      <c r="D15" s="227">
        <v>5575</v>
      </c>
      <c r="E15" s="228">
        <f>D15/B55</f>
        <v>0.9925226989496172</v>
      </c>
      <c r="F15" s="228">
        <f>D15/E55</f>
        <v>0.66329565734681739</v>
      </c>
      <c r="G15" s="227">
        <v>4275</v>
      </c>
      <c r="H15" s="228">
        <f>G15/B55</f>
        <v>0.76108242834253159</v>
      </c>
      <c r="I15" s="450">
        <f>G15/E55</f>
        <v>0.50862581796549677</v>
      </c>
      <c r="J15" s="229">
        <f t="shared" si="2"/>
        <v>4925</v>
      </c>
      <c r="K15" s="228">
        <f t="shared" si="2"/>
        <v>0.87680256364607434</v>
      </c>
      <c r="L15" s="228">
        <f t="shared" si="2"/>
        <v>0.58596073765615708</v>
      </c>
    </row>
    <row r="16" spans="1:13" ht="15.75" x14ac:dyDescent="0.25">
      <c r="B16" s="225">
        <v>2900</v>
      </c>
      <c r="C16" s="226" t="s">
        <v>327</v>
      </c>
      <c r="D16" s="227">
        <v>18845</v>
      </c>
      <c r="E16" s="228">
        <f>D16/B55</f>
        <v>3.3549937689157914</v>
      </c>
      <c r="F16" s="228">
        <f>D16/E55</f>
        <v>2.2421177870315288</v>
      </c>
      <c r="G16" s="227">
        <v>20453</v>
      </c>
      <c r="H16" s="228">
        <f>G16/B55</f>
        <v>3.6412675805590173</v>
      </c>
      <c r="I16" s="450">
        <f>G16/E55</f>
        <v>2.4334324806662702</v>
      </c>
      <c r="J16" s="229">
        <f t="shared" si="2"/>
        <v>19649</v>
      </c>
      <c r="K16" s="228">
        <f t="shared" si="2"/>
        <v>3.4981306747374044</v>
      </c>
      <c r="L16" s="228">
        <f t="shared" si="2"/>
        <v>2.3377751338488997</v>
      </c>
    </row>
    <row r="17" spans="2:13" ht="15.75" x14ac:dyDescent="0.25">
      <c r="B17" s="230" t="s">
        <v>328</v>
      </c>
      <c r="C17" s="231" t="s">
        <v>320</v>
      </c>
      <c r="D17" s="232">
        <f t="shared" ref="D17:I17" si="3">SUM(D11:D16)</f>
        <v>488370</v>
      </c>
      <c r="E17" s="233">
        <f t="shared" si="3"/>
        <v>86.944988427986459</v>
      </c>
      <c r="F17" s="233">
        <f t="shared" si="3"/>
        <v>58.104699583581201</v>
      </c>
      <c r="G17" s="233">
        <f t="shared" si="3"/>
        <v>513419</v>
      </c>
      <c r="H17" s="233">
        <f t="shared" si="3"/>
        <v>91.404486380630232</v>
      </c>
      <c r="I17" s="233">
        <f t="shared" si="3"/>
        <v>61.084949434860199</v>
      </c>
      <c r="J17" s="448">
        <f t="shared" si="2"/>
        <v>500894.5</v>
      </c>
      <c r="K17" s="233">
        <f t="shared" si="2"/>
        <v>89.174737404308345</v>
      </c>
      <c r="L17" s="233">
        <f t="shared" si="2"/>
        <v>59.5948245092207</v>
      </c>
      <c r="M17" s="229"/>
    </row>
    <row r="18" spans="2:13" ht="15.75" x14ac:dyDescent="0.25">
      <c r="B18" s="242"/>
      <c r="C18" s="243"/>
      <c r="D18" s="244"/>
      <c r="E18" s="245"/>
      <c r="F18" s="245"/>
      <c r="G18" s="245"/>
      <c r="H18" s="246"/>
      <c r="I18" s="226"/>
    </row>
    <row r="19" spans="2:13" x14ac:dyDescent="0.25">
      <c r="B19" s="552" t="s">
        <v>329</v>
      </c>
      <c r="C19" s="551"/>
      <c r="D19" s="551"/>
      <c r="E19" s="551"/>
      <c r="F19" s="551"/>
      <c r="G19" s="551"/>
      <c r="H19" s="551"/>
      <c r="I19" s="449"/>
      <c r="J19" s="240"/>
      <c r="K19" s="224"/>
      <c r="L19" s="224"/>
    </row>
    <row r="20" spans="2:13" ht="15.75" x14ac:dyDescent="0.25">
      <c r="B20" s="225">
        <v>3120</v>
      </c>
      <c r="C20" s="226" t="s">
        <v>330</v>
      </c>
      <c r="D20" s="227">
        <v>154500</v>
      </c>
      <c r="E20" s="228">
        <f>D20/B55</f>
        <v>27.505786006765177</v>
      </c>
      <c r="F20" s="228">
        <f>D20/E55</f>
        <v>18.381915526472337</v>
      </c>
      <c r="G20" s="227">
        <v>154500</v>
      </c>
      <c r="H20" s="228">
        <f>G20/B55</f>
        <v>27.505786006765177</v>
      </c>
      <c r="I20" s="450">
        <f>G20/E55</f>
        <v>18.381915526472337</v>
      </c>
      <c r="J20" s="229">
        <f t="shared" ref="J20:L24" si="4">AVERAGE(G20,D20)</f>
        <v>154500</v>
      </c>
      <c r="K20" s="228">
        <f t="shared" si="4"/>
        <v>27.505786006765177</v>
      </c>
      <c r="L20" s="228">
        <f t="shared" si="4"/>
        <v>18.381915526472337</v>
      </c>
    </row>
    <row r="21" spans="2:13" ht="15.75" x14ac:dyDescent="0.25">
      <c r="B21" s="225">
        <v>3200</v>
      </c>
      <c r="C21" s="226" t="s">
        <v>331</v>
      </c>
      <c r="D21" s="227">
        <v>305066</v>
      </c>
      <c r="E21" s="228">
        <f>D21/B55</f>
        <v>54.311198148477835</v>
      </c>
      <c r="F21" s="228">
        <f>D21/E55</f>
        <v>36.295776323616892</v>
      </c>
      <c r="G21" s="227">
        <v>262549</v>
      </c>
      <c r="H21" s="228">
        <f>G21/B55</f>
        <v>46.741855082784404</v>
      </c>
      <c r="I21" s="450">
        <f>G21/E55</f>
        <v>31.237239738251041</v>
      </c>
      <c r="J21" s="229">
        <f t="shared" si="4"/>
        <v>283807.5</v>
      </c>
      <c r="K21" s="228">
        <f>AVERAGE(H21,E21)</f>
        <v>50.52652661563112</v>
      </c>
      <c r="L21" s="228">
        <f t="shared" si="4"/>
        <v>33.766508030933963</v>
      </c>
    </row>
    <row r="22" spans="2:13" ht="15.75" x14ac:dyDescent="0.25">
      <c r="B22" s="225">
        <v>3412</v>
      </c>
      <c r="C22" s="226" t="s">
        <v>332</v>
      </c>
      <c r="D22" s="227">
        <v>2060</v>
      </c>
      <c r="E22" s="228">
        <f>D22/B56</f>
        <v>0.36563720269790556</v>
      </c>
      <c r="F22" s="228">
        <f>D22/E55</f>
        <v>0.24509220701963116</v>
      </c>
      <c r="G22" s="227">
        <v>2060</v>
      </c>
      <c r="H22" s="228">
        <f>G22/B55</f>
        <v>0.36674381342353568</v>
      </c>
      <c r="I22" s="450">
        <f>G22/E55</f>
        <v>0.24509220701963116</v>
      </c>
      <c r="J22" s="229">
        <f t="shared" si="4"/>
        <v>2060</v>
      </c>
      <c r="K22" s="228">
        <f t="shared" si="4"/>
        <v>0.36619050806072062</v>
      </c>
      <c r="L22" s="228">
        <f t="shared" si="4"/>
        <v>0.24509220701963116</v>
      </c>
    </row>
    <row r="23" spans="2:13" ht="15.75" x14ac:dyDescent="0.25">
      <c r="B23" s="225">
        <v>3510</v>
      </c>
      <c r="C23" s="226" t="s">
        <v>333</v>
      </c>
      <c r="D23" s="227">
        <v>20597</v>
      </c>
      <c r="E23" s="228">
        <f>D23/B56</f>
        <v>3.6558395456159034</v>
      </c>
      <c r="F23" s="228">
        <f>D23/E55</f>
        <v>2.4505651397977393</v>
      </c>
      <c r="G23" s="227">
        <v>20597</v>
      </c>
      <c r="H23" s="228">
        <f>G23/B55</f>
        <v>3.6669040413031868</v>
      </c>
      <c r="I23" s="450">
        <f>G23/E55</f>
        <v>2.4505651397977393</v>
      </c>
      <c r="J23" s="229">
        <f t="shared" si="4"/>
        <v>20597</v>
      </c>
      <c r="K23" s="228">
        <f t="shared" si="4"/>
        <v>3.6613717934595451</v>
      </c>
      <c r="L23" s="228">
        <f t="shared" si="4"/>
        <v>2.4505651397977393</v>
      </c>
    </row>
    <row r="24" spans="2:13" ht="15.75" x14ac:dyDescent="0.25">
      <c r="B24" s="230" t="s">
        <v>334</v>
      </c>
      <c r="C24" s="231" t="s">
        <v>320</v>
      </c>
      <c r="D24" s="232">
        <f>SUM(D20:D23)</f>
        <v>482223</v>
      </c>
      <c r="E24" s="232">
        <f t="shared" ref="E24:I24" si="5">SUM(E20:E23)</f>
        <v>85.838460903556822</v>
      </c>
      <c r="F24" s="232">
        <f t="shared" si="5"/>
        <v>57.373349196906602</v>
      </c>
      <c r="G24" s="232">
        <f t="shared" si="5"/>
        <v>439706</v>
      </c>
      <c r="H24" s="232">
        <f t="shared" si="5"/>
        <v>78.281288944276298</v>
      </c>
      <c r="I24" s="232">
        <f t="shared" si="5"/>
        <v>52.314812611540745</v>
      </c>
      <c r="J24" s="446">
        <f t="shared" si="4"/>
        <v>460964.5</v>
      </c>
      <c r="K24" s="447">
        <f t="shared" si="4"/>
        <v>82.059874923916567</v>
      </c>
      <c r="L24" s="447">
        <f t="shared" si="4"/>
        <v>54.844080904223674</v>
      </c>
      <c r="M24" s="229"/>
    </row>
    <row r="25" spans="2:13" ht="15.75" x14ac:dyDescent="0.25">
      <c r="B25" s="238"/>
      <c r="C25" s="235"/>
      <c r="D25" s="236"/>
      <c r="E25" s="237"/>
      <c r="F25" s="237"/>
      <c r="G25" s="237"/>
      <c r="H25" s="237"/>
      <c r="I25" s="237"/>
      <c r="J25" s="238"/>
      <c r="K25" s="238"/>
      <c r="L25" s="238"/>
    </row>
    <row r="26" spans="2:13" x14ac:dyDescent="0.25">
      <c r="B26" s="552" t="s">
        <v>335</v>
      </c>
      <c r="C26" s="551"/>
      <c r="D26" s="551"/>
      <c r="E26" s="551"/>
      <c r="F26" s="551"/>
      <c r="G26" s="551"/>
      <c r="H26" s="551"/>
      <c r="I26" s="239"/>
      <c r="J26" s="240"/>
      <c r="K26" s="240"/>
      <c r="L26" s="224"/>
    </row>
    <row r="27" spans="2:13" ht="15.75" x14ac:dyDescent="0.25">
      <c r="B27" s="247">
        <v>4110</v>
      </c>
      <c r="C27" s="226" t="s">
        <v>336</v>
      </c>
      <c r="D27" s="227">
        <v>432500</v>
      </c>
      <c r="E27" s="228">
        <f>D27/B55</f>
        <v>76.998397721203489</v>
      </c>
      <c r="F27" s="228">
        <f>D27/E55</f>
        <v>51.45746579417014</v>
      </c>
      <c r="G27" s="227">
        <v>650000</v>
      </c>
      <c r="H27" s="228">
        <f>G27/B56</f>
        <v>115.37096201632943</v>
      </c>
      <c r="I27" s="228">
        <f>G27/E55</f>
        <v>77.334919690660328</v>
      </c>
      <c r="J27" s="228">
        <f t="shared" ref="J27:L42" si="6">AVERAGE(G27,D27)</f>
        <v>541250</v>
      </c>
      <c r="K27" s="228">
        <f t="shared" si="6"/>
        <v>96.184679868766466</v>
      </c>
      <c r="L27" s="228">
        <f t="shared" si="6"/>
        <v>64.396192742415238</v>
      </c>
    </row>
    <row r="28" spans="2:13" ht="15.75" x14ac:dyDescent="0.25">
      <c r="B28" s="247">
        <v>4128</v>
      </c>
      <c r="C28" s="226" t="s">
        <v>336</v>
      </c>
      <c r="D28" s="227">
        <v>935</v>
      </c>
      <c r="E28" s="228">
        <f>D28/B55</f>
        <v>0.1664589638597116</v>
      </c>
      <c r="F28" s="228">
        <f>D28/E55</f>
        <v>0.11124330755502677</v>
      </c>
      <c r="G28" s="227">
        <v>1000</v>
      </c>
      <c r="H28" s="228">
        <f>G28/B56</f>
        <v>0.17749378771742988</v>
      </c>
      <c r="I28" s="228">
        <f>G28/E55</f>
        <v>0.11897679952409281</v>
      </c>
      <c r="J28" s="228">
        <f t="shared" si="6"/>
        <v>967.5</v>
      </c>
      <c r="K28" s="228">
        <f t="shared" si="6"/>
        <v>0.17197637578857072</v>
      </c>
      <c r="L28" s="228">
        <f t="shared" si="6"/>
        <v>0.11511005353955979</v>
      </c>
    </row>
    <row r="29" spans="2:13" ht="15.75" x14ac:dyDescent="0.25">
      <c r="B29" s="247">
        <v>4153</v>
      </c>
      <c r="C29" s="226" t="s">
        <v>337</v>
      </c>
      <c r="D29" s="227">
        <v>12360</v>
      </c>
      <c r="E29" s="228">
        <f>D29/B55</f>
        <v>2.2004628805412141</v>
      </c>
      <c r="F29" s="228">
        <f>D29/E55</f>
        <v>1.4705532421177869</v>
      </c>
      <c r="G29" s="227">
        <v>12763</v>
      </c>
      <c r="H29" s="228">
        <f>G29/B56</f>
        <v>2.2653532126375575</v>
      </c>
      <c r="I29" s="228">
        <f>G29/E55</f>
        <v>1.5185008923259964</v>
      </c>
      <c r="J29" s="228">
        <f t="shared" si="6"/>
        <v>12561.5</v>
      </c>
      <c r="K29" s="228">
        <f t="shared" si="6"/>
        <v>2.2329080465893858</v>
      </c>
      <c r="L29" s="228">
        <f t="shared" si="6"/>
        <v>1.4945270672218918</v>
      </c>
    </row>
    <row r="30" spans="2:13" ht="15.75" x14ac:dyDescent="0.25">
      <c r="B30" s="247">
        <v>4154</v>
      </c>
      <c r="C30" s="226" t="s">
        <v>338</v>
      </c>
      <c r="D30" s="227">
        <v>7156</v>
      </c>
      <c r="E30" s="228">
        <f>D30/B55</f>
        <v>1.2739896742033114</v>
      </c>
      <c r="F30" s="228">
        <f>D30/E55</f>
        <v>0.85139797739440815</v>
      </c>
      <c r="G30" s="227">
        <v>7389</v>
      </c>
      <c r="H30" s="228">
        <f>G30/B56</f>
        <v>1.3115015974440896</v>
      </c>
      <c r="I30" s="228">
        <f>G30/E55</f>
        <v>0.87911957168352173</v>
      </c>
      <c r="J30" s="228">
        <f t="shared" si="6"/>
        <v>7272.5</v>
      </c>
      <c r="K30" s="228">
        <f t="shared" si="6"/>
        <v>1.2927456358237004</v>
      </c>
      <c r="L30" s="228">
        <f t="shared" si="6"/>
        <v>0.86525877453896494</v>
      </c>
    </row>
    <row r="31" spans="2:13" ht="15.75" x14ac:dyDescent="0.25">
      <c r="B31" s="247">
        <v>4155</v>
      </c>
      <c r="C31" s="226" t="s">
        <v>339</v>
      </c>
      <c r="D31" s="227">
        <v>41600</v>
      </c>
      <c r="E31" s="228">
        <f>D31/B55</f>
        <v>7.4060886594267403</v>
      </c>
      <c r="F31" s="228">
        <f>D31/E55</f>
        <v>4.9494348602022606</v>
      </c>
      <c r="G31" s="227">
        <v>42956</v>
      </c>
      <c r="H31" s="228">
        <f>G31/B56</f>
        <v>7.624423145189918</v>
      </c>
      <c r="I31" s="228">
        <f>G31/E55</f>
        <v>5.1107674003569308</v>
      </c>
      <c r="J31" s="228">
        <f t="shared" si="6"/>
        <v>42278</v>
      </c>
      <c r="K31" s="228">
        <f t="shared" si="6"/>
        <v>7.5152559023083292</v>
      </c>
      <c r="L31" s="228">
        <f t="shared" si="6"/>
        <v>5.0301011302795953</v>
      </c>
    </row>
    <row r="32" spans="2:13" ht="15.75" x14ac:dyDescent="0.25">
      <c r="B32" s="247">
        <v>4190</v>
      </c>
      <c r="C32" s="226" t="s">
        <v>340</v>
      </c>
      <c r="D32" s="227">
        <v>171834</v>
      </c>
      <c r="E32" s="228">
        <f>D32/B55</f>
        <v>30.591774968844579</v>
      </c>
      <c r="F32" s="228">
        <f>D32/E55</f>
        <v>20.444259369422962</v>
      </c>
      <c r="G32" s="227">
        <v>225254</v>
      </c>
      <c r="H32" s="228">
        <f>G32/B56</f>
        <v>39.98118565850195</v>
      </c>
      <c r="I32" s="228">
        <f>G32/E55</f>
        <v>26.8</v>
      </c>
      <c r="J32" s="228">
        <f t="shared" si="6"/>
        <v>198544</v>
      </c>
      <c r="K32" s="228">
        <f t="shared" si="6"/>
        <v>35.286480313673266</v>
      </c>
      <c r="L32" s="228">
        <f t="shared" si="6"/>
        <v>23.622129684711481</v>
      </c>
    </row>
    <row r="33" spans="2:12" ht="15.75" x14ac:dyDescent="0.25">
      <c r="B33" s="247">
        <v>4230</v>
      </c>
      <c r="C33" s="226" t="s">
        <v>341</v>
      </c>
      <c r="D33" s="227">
        <v>10626</v>
      </c>
      <c r="E33" s="228">
        <f>D33/B55</f>
        <v>1.8917571657468399</v>
      </c>
      <c r="F33" s="228">
        <f>D33/E55</f>
        <v>1.2642474717430101</v>
      </c>
      <c r="G33" s="227">
        <v>10972</v>
      </c>
      <c r="H33" s="228">
        <f>G33/B56</f>
        <v>1.9474618388356408</v>
      </c>
      <c r="I33" s="228">
        <f>G33/E55</f>
        <v>1.3054134443783463</v>
      </c>
      <c r="J33" s="228">
        <f t="shared" si="6"/>
        <v>10799</v>
      </c>
      <c r="K33" s="228">
        <f t="shared" si="6"/>
        <v>1.9196095022912405</v>
      </c>
      <c r="L33" s="228">
        <f t="shared" si="6"/>
        <v>1.2848304580606782</v>
      </c>
    </row>
    <row r="34" spans="2:12" ht="15.75" x14ac:dyDescent="0.25">
      <c r="B34" s="247">
        <v>4310</v>
      </c>
      <c r="C34" s="226" t="s">
        <v>342</v>
      </c>
      <c r="D34" s="227">
        <v>13424</v>
      </c>
      <c r="E34" s="228">
        <f>D34/B55</f>
        <v>2.3898878404842443</v>
      </c>
      <c r="F34" s="228">
        <f>D34/E55</f>
        <v>1.5971445568114218</v>
      </c>
      <c r="G34" s="227">
        <v>9767</v>
      </c>
      <c r="H34" s="228">
        <f>G34/B56</f>
        <v>1.7335818246361376</v>
      </c>
      <c r="I34" s="228">
        <f>G34/E55</f>
        <v>1.1620464009518143</v>
      </c>
      <c r="J34" s="228">
        <f t="shared" si="6"/>
        <v>11595.5</v>
      </c>
      <c r="K34" s="228">
        <f t="shared" si="6"/>
        <v>2.061734832560191</v>
      </c>
      <c r="L34" s="228">
        <f t="shared" si="6"/>
        <v>1.379595478881618</v>
      </c>
    </row>
    <row r="35" spans="2:12" ht="15.75" x14ac:dyDescent="0.25">
      <c r="B35" s="247">
        <v>4361</v>
      </c>
      <c r="C35" s="226" t="s">
        <v>343</v>
      </c>
      <c r="D35" s="227">
        <v>515</v>
      </c>
      <c r="E35" s="228">
        <f>D35/B55</f>
        <v>9.168595335588392E-2</v>
      </c>
      <c r="F35" s="228">
        <f>D35/E55</f>
        <v>6.1273051754907791E-2</v>
      </c>
      <c r="G35" s="227">
        <v>532</v>
      </c>
      <c r="H35" s="228">
        <f>G35/B56</f>
        <v>9.4426695065672708E-2</v>
      </c>
      <c r="I35" s="228">
        <f>G35/E55</f>
        <v>6.3295657346817372E-2</v>
      </c>
      <c r="J35" s="228">
        <f t="shared" si="6"/>
        <v>523.5</v>
      </c>
      <c r="K35" s="228">
        <f t="shared" si="6"/>
        <v>9.3056324210778307E-2</v>
      </c>
      <c r="L35" s="228">
        <f t="shared" si="6"/>
        <v>6.2284354550862578E-2</v>
      </c>
    </row>
    <row r="36" spans="2:12" ht="15.75" x14ac:dyDescent="0.25">
      <c r="B36" s="247">
        <v>4410</v>
      </c>
      <c r="C36" s="226" t="s">
        <v>344</v>
      </c>
      <c r="D36" s="227">
        <v>8215</v>
      </c>
      <c r="E36" s="228">
        <f>D36/B55</f>
        <v>1.4625244792593912</v>
      </c>
      <c r="F36" s="228">
        <f>D36/E55</f>
        <v>0.97739440809042233</v>
      </c>
      <c r="G36" s="227">
        <v>8483</v>
      </c>
      <c r="H36" s="228">
        <f>G36/B56</f>
        <v>1.5056798012069577</v>
      </c>
      <c r="I36" s="228">
        <f>G36/E55</f>
        <v>1.0092801903628792</v>
      </c>
      <c r="J36" s="228">
        <f t="shared" si="6"/>
        <v>8349</v>
      </c>
      <c r="K36" s="228">
        <f t="shared" si="6"/>
        <v>1.4841021402331744</v>
      </c>
      <c r="L36" s="228">
        <f t="shared" si="6"/>
        <v>0.99333729922665071</v>
      </c>
    </row>
    <row r="37" spans="2:12" ht="15.75" x14ac:dyDescent="0.25">
      <c r="B37" s="247">
        <v>4510</v>
      </c>
      <c r="C37" s="226" t="s">
        <v>345</v>
      </c>
      <c r="D37" s="227">
        <v>215000</v>
      </c>
      <c r="E37" s="228">
        <f>D37/B55</f>
        <v>38.276660138864159</v>
      </c>
      <c r="F37" s="228">
        <f>D37/E55</f>
        <v>25.580011897679952</v>
      </c>
      <c r="G37" s="227">
        <v>162000</v>
      </c>
      <c r="H37" s="228">
        <f>G37/B56</f>
        <v>28.753993610223642</v>
      </c>
      <c r="I37" s="228">
        <f>G37/E55</f>
        <v>19.274241522903033</v>
      </c>
      <c r="J37" s="228">
        <f t="shared" si="6"/>
        <v>188500</v>
      </c>
      <c r="K37" s="228">
        <f t="shared" si="6"/>
        <v>33.515326874543902</v>
      </c>
      <c r="L37" s="228">
        <f t="shared" si="6"/>
        <v>22.427126710291493</v>
      </c>
    </row>
    <row r="38" spans="2:12" ht="15.75" x14ac:dyDescent="0.25">
      <c r="B38" s="247">
        <v>4511</v>
      </c>
      <c r="C38" s="226" t="s">
        <v>346</v>
      </c>
      <c r="D38" s="227">
        <v>21522</v>
      </c>
      <c r="E38" s="228">
        <f>D38/B55</f>
        <v>3.8315826953889975</v>
      </c>
      <c r="F38" s="228">
        <f>D38/E55</f>
        <v>2.5606186793575252</v>
      </c>
      <c r="G38" s="227">
        <v>22224</v>
      </c>
      <c r="H38" s="228">
        <f>G38/B56</f>
        <v>3.9446219382321619</v>
      </c>
      <c r="I38" s="228">
        <f>G38/E55</f>
        <v>2.6441403926234384</v>
      </c>
      <c r="J38" s="228">
        <f t="shared" si="6"/>
        <v>21873</v>
      </c>
      <c r="K38" s="228">
        <f t="shared" si="6"/>
        <v>3.8881023168105795</v>
      </c>
      <c r="L38" s="228">
        <f t="shared" si="6"/>
        <v>2.6023795359904818</v>
      </c>
    </row>
    <row r="39" spans="2:12" ht="15.75" x14ac:dyDescent="0.25">
      <c r="B39" s="247">
        <v>4610</v>
      </c>
      <c r="C39" s="226" t="s">
        <v>347</v>
      </c>
      <c r="D39" s="227">
        <v>467830</v>
      </c>
      <c r="E39" s="228">
        <f>D39/B55</f>
        <v>83.288232152394514</v>
      </c>
      <c r="F39" s="228">
        <f>D39/E55</f>
        <v>55.660916121356337</v>
      </c>
      <c r="G39" s="227">
        <v>213400</v>
      </c>
      <c r="H39" s="228">
        <f>G39/B56</f>
        <v>37.87717429889954</v>
      </c>
      <c r="I39" s="228">
        <f>G39/E55</f>
        <v>25.389649018441403</v>
      </c>
      <c r="J39" s="228">
        <f t="shared" si="6"/>
        <v>340615</v>
      </c>
      <c r="K39" s="228">
        <f t="shared" si="6"/>
        <v>60.582703225647023</v>
      </c>
      <c r="L39" s="228">
        <f t="shared" si="6"/>
        <v>40.52528256989887</v>
      </c>
    </row>
    <row r="40" spans="2:12" ht="15.75" x14ac:dyDescent="0.25">
      <c r="B40" s="247">
        <v>4700</v>
      </c>
      <c r="C40" s="226" t="s">
        <v>348</v>
      </c>
      <c r="D40" s="227">
        <v>33196</v>
      </c>
      <c r="E40" s="228">
        <f>D40/B55</f>
        <v>5.9099163254406264</v>
      </c>
      <c r="F40" s="228">
        <f>D40/E55</f>
        <v>3.9495538370017846</v>
      </c>
      <c r="G40" s="227">
        <v>34278</v>
      </c>
      <c r="H40" s="228">
        <f>G40/B56</f>
        <v>6.0841320553780616</v>
      </c>
      <c r="I40" s="228">
        <f>G40/E55</f>
        <v>4.0782867340868529</v>
      </c>
      <c r="J40" s="228">
        <f t="shared" si="6"/>
        <v>33737</v>
      </c>
      <c r="K40" s="228">
        <f t="shared" si="6"/>
        <v>5.997024190409344</v>
      </c>
      <c r="L40" s="228">
        <f t="shared" si="6"/>
        <v>4.0139202855443186</v>
      </c>
    </row>
    <row r="41" spans="2:12" ht="15.75" x14ac:dyDescent="0.25">
      <c r="B41" s="247">
        <v>4810</v>
      </c>
      <c r="C41" s="226" t="s">
        <v>349</v>
      </c>
      <c r="D41" s="227">
        <v>1122000</v>
      </c>
      <c r="E41" s="228">
        <f>D41/B55</f>
        <v>199.7507566316539</v>
      </c>
      <c r="F41" s="228">
        <f>D41/E55</f>
        <v>133.49196906603211</v>
      </c>
      <c r="G41" s="227">
        <v>1300000</v>
      </c>
      <c r="H41" s="228">
        <f>G41/B56</f>
        <v>230.74192403265886</v>
      </c>
      <c r="I41" s="228">
        <f>G41/E55</f>
        <v>154.66983938132066</v>
      </c>
      <c r="J41" s="228">
        <f t="shared" si="6"/>
        <v>1211000</v>
      </c>
      <c r="K41" s="228">
        <f t="shared" si="6"/>
        <v>215.24634033215636</v>
      </c>
      <c r="L41" s="228">
        <f t="shared" si="6"/>
        <v>144.08090422367638</v>
      </c>
    </row>
    <row r="42" spans="2:12" ht="15.75" x14ac:dyDescent="0.25">
      <c r="B42" s="247">
        <v>4811</v>
      </c>
      <c r="C42" s="226" t="s">
        <v>350</v>
      </c>
      <c r="D42" s="227">
        <v>26957</v>
      </c>
      <c r="E42" s="228">
        <f>D42/B55</f>
        <v>4.7991810575040059</v>
      </c>
      <c r="F42" s="228">
        <f>D42/E55</f>
        <v>3.2072575847709697</v>
      </c>
      <c r="G42" s="227">
        <v>27836</v>
      </c>
      <c r="H42" s="228">
        <f>G42/B56</f>
        <v>4.9407170749023788</v>
      </c>
      <c r="I42" s="228">
        <f>G42/E55</f>
        <v>3.3118381915526474</v>
      </c>
      <c r="J42" s="228">
        <f t="shared" si="6"/>
        <v>27396.5</v>
      </c>
      <c r="K42" s="228">
        <f t="shared" si="6"/>
        <v>4.8699490662031923</v>
      </c>
      <c r="L42" s="228">
        <f t="shared" si="6"/>
        <v>3.2595478881618085</v>
      </c>
    </row>
    <row r="43" spans="2:12" ht="15.75" x14ac:dyDescent="0.25">
      <c r="B43" s="247">
        <v>4910</v>
      </c>
      <c r="C43" s="226" t="s">
        <v>351</v>
      </c>
      <c r="D43" s="227">
        <v>100195</v>
      </c>
      <c r="E43" s="228">
        <f>D43/B55</f>
        <v>17.837813779597649</v>
      </c>
      <c r="F43" s="228">
        <f>D43/E55</f>
        <v>11.920880428316478</v>
      </c>
      <c r="G43" s="227">
        <v>127821</v>
      </c>
      <c r="H43" s="228">
        <f>G43/B56</f>
        <v>22.687433439829604</v>
      </c>
      <c r="I43" s="228">
        <f>G43/E55</f>
        <v>15.207733491969066</v>
      </c>
      <c r="J43" s="229">
        <f t="shared" ref="J43:L46" si="7">AVERAGE(G43,D43)</f>
        <v>114008</v>
      </c>
      <c r="K43" s="228">
        <f t="shared" si="7"/>
        <v>20.262623609713629</v>
      </c>
      <c r="L43" s="228">
        <f t="shared" si="7"/>
        <v>13.564306960142773</v>
      </c>
    </row>
    <row r="44" spans="2:12" ht="15.75" x14ac:dyDescent="0.25">
      <c r="B44" s="230" t="s">
        <v>352</v>
      </c>
      <c r="C44" s="231" t="s">
        <v>320</v>
      </c>
      <c r="D44" s="232">
        <f t="shared" ref="D44:I44" si="8">SUM(D27:D43)</f>
        <v>2685865</v>
      </c>
      <c r="E44" s="233">
        <f t="shared" si="8"/>
        <v>478.1671710877693</v>
      </c>
      <c r="F44" s="233">
        <f t="shared" si="8"/>
        <v>319.55562165377751</v>
      </c>
      <c r="G44" s="233">
        <f t="shared" si="8"/>
        <v>2856675</v>
      </c>
      <c r="H44" s="233">
        <f t="shared" si="8"/>
        <v>507.04206602768897</v>
      </c>
      <c r="I44" s="233">
        <f t="shared" si="8"/>
        <v>339.87804878048775</v>
      </c>
      <c r="J44" s="241">
        <f t="shared" si="7"/>
        <v>2771270</v>
      </c>
      <c r="K44" s="233">
        <f t="shared" si="7"/>
        <v>492.60461855772917</v>
      </c>
      <c r="L44" s="233">
        <f t="shared" si="7"/>
        <v>329.7168352171326</v>
      </c>
    </row>
    <row r="45" spans="2:12" x14ac:dyDescent="0.25">
      <c r="C45" s="248" t="s">
        <v>486</v>
      </c>
      <c r="D45" s="249">
        <f>D44+D20+D21</f>
        <v>3145431</v>
      </c>
      <c r="E45" s="249">
        <f t="shared" ref="E45:I45" si="9">E44+E20+E21</f>
        <v>559.98415524301231</v>
      </c>
      <c r="F45" s="249">
        <f t="shared" si="9"/>
        <v>374.23331350386673</v>
      </c>
      <c r="G45" s="249">
        <f t="shared" si="9"/>
        <v>3273724</v>
      </c>
      <c r="H45" s="249">
        <f t="shared" si="9"/>
        <v>581.28970711723855</v>
      </c>
      <c r="I45" s="249">
        <f t="shared" si="9"/>
        <v>389.49720404521111</v>
      </c>
      <c r="J45" s="451">
        <f t="shared" si="7"/>
        <v>3209577.5</v>
      </c>
      <c r="K45" s="451">
        <f t="shared" si="7"/>
        <v>570.63693118012543</v>
      </c>
      <c r="L45" s="451">
        <f t="shared" si="7"/>
        <v>381.86525877453892</v>
      </c>
    </row>
    <row r="46" spans="2:12" ht="15.75" x14ac:dyDescent="0.25">
      <c r="C46" s="280" t="s">
        <v>353</v>
      </c>
      <c r="D46" s="281">
        <f>D44+D24+D8+D17</f>
        <v>5220860</v>
      </c>
      <c r="E46" s="281">
        <f t="shared" ref="E46:I46" si="10">E44+E24+E8+E17</f>
        <v>929.46263751028641</v>
      </c>
      <c r="F46" s="281">
        <f t="shared" si="10"/>
        <v>621.1612135633552</v>
      </c>
      <c r="G46" s="281">
        <f t="shared" si="10"/>
        <v>5351939</v>
      </c>
      <c r="H46" s="281">
        <f t="shared" si="10"/>
        <v>951.27635479393427</v>
      </c>
      <c r="I46" s="281">
        <f t="shared" si="10"/>
        <v>636.75657346817366</v>
      </c>
      <c r="J46" s="452">
        <f t="shared" si="7"/>
        <v>5286399.5</v>
      </c>
      <c r="K46" s="452">
        <f t="shared" si="7"/>
        <v>940.36949615211029</v>
      </c>
      <c r="L46" s="452">
        <f t="shared" si="7"/>
        <v>628.95889351576443</v>
      </c>
    </row>
    <row r="47" spans="2:12" x14ac:dyDescent="0.25">
      <c r="C47" s="250"/>
      <c r="D47" s="229"/>
      <c r="E47" s="229"/>
      <c r="F47" s="229"/>
      <c r="G47" s="229"/>
      <c r="H47" s="229"/>
      <c r="I47" s="229"/>
      <c r="J47" s="229"/>
      <c r="K47" s="229"/>
      <c r="L47" s="229"/>
    </row>
    <row r="48" spans="2:12" x14ac:dyDescent="0.25">
      <c r="C48" s="251"/>
      <c r="D48" s="279">
        <v>2026</v>
      </c>
      <c r="E48" s="252"/>
      <c r="F48" s="252"/>
      <c r="G48" s="279">
        <v>2027</v>
      </c>
      <c r="H48" s="252"/>
      <c r="I48" s="252"/>
      <c r="J48" s="279" t="s">
        <v>366</v>
      </c>
      <c r="K48" s="229"/>
      <c r="L48" s="229"/>
    </row>
    <row r="49" spans="1:12" ht="15.75" x14ac:dyDescent="0.25">
      <c r="C49" s="250" t="s">
        <v>354</v>
      </c>
      <c r="D49" s="253">
        <v>1900000</v>
      </c>
      <c r="E49" s="229"/>
      <c r="F49" s="229"/>
      <c r="G49" s="253">
        <v>2150000</v>
      </c>
      <c r="J49" s="229">
        <f>AVERAGE(G49,D49)</f>
        <v>2025000</v>
      </c>
      <c r="K49" s="229"/>
      <c r="L49" s="445"/>
    </row>
    <row r="50" spans="1:12" ht="15.75" x14ac:dyDescent="0.25">
      <c r="C50" s="250" t="s">
        <v>355</v>
      </c>
      <c r="D50" s="253">
        <f>275000+303516</f>
        <v>578516</v>
      </c>
      <c r="E50" s="229"/>
      <c r="F50" s="229"/>
      <c r="G50" s="253">
        <f>421716+30000</f>
        <v>451716</v>
      </c>
      <c r="J50" s="229">
        <f>AVERAGE(G50,D50)</f>
        <v>515116</v>
      </c>
      <c r="K50" s="229"/>
      <c r="L50" s="229"/>
    </row>
    <row r="51" spans="1:12" ht="15.75" x14ac:dyDescent="0.25">
      <c r="C51" s="250" t="s">
        <v>356</v>
      </c>
      <c r="D51" s="253">
        <v>646989</v>
      </c>
      <c r="E51" s="229"/>
      <c r="F51" s="229"/>
      <c r="G51" s="253"/>
      <c r="J51" s="229">
        <f>AVERAGE(G51,D51)</f>
        <v>646989</v>
      </c>
      <c r="K51" s="229"/>
      <c r="L51" s="229"/>
    </row>
    <row r="52" spans="1:12" ht="15.75" x14ac:dyDescent="0.25">
      <c r="C52" s="254" t="s">
        <v>357</v>
      </c>
      <c r="D52" s="255">
        <f>D46-(D49+D50+D51)</f>
        <v>2095355</v>
      </c>
      <c r="E52" s="256"/>
      <c r="F52" s="256"/>
      <c r="G52" s="255">
        <f>G46-(G49+G50+G506)</f>
        <v>2750223</v>
      </c>
      <c r="H52" s="256"/>
      <c r="I52" s="256"/>
      <c r="J52" s="453">
        <f>AVERAGE(G52,D52)</f>
        <v>2422789</v>
      </c>
      <c r="K52" s="229"/>
      <c r="L52" s="229"/>
    </row>
    <row r="53" spans="1:12" ht="15.75" x14ac:dyDescent="0.25">
      <c r="D53" s="257"/>
    </row>
    <row r="54" spans="1:12" x14ac:dyDescent="0.25">
      <c r="B54" s="221" t="s">
        <v>358</v>
      </c>
      <c r="E54" s="221" t="s">
        <v>359</v>
      </c>
      <c r="G54" s="229"/>
    </row>
    <row r="55" spans="1:12" ht="15.6" customHeight="1" x14ac:dyDescent="0.25">
      <c r="B55" s="258">
        <f>'2026 Operating Hours'!D24</f>
        <v>5617</v>
      </c>
      <c r="C55" s="259" t="s">
        <v>360</v>
      </c>
      <c r="D55" s="260"/>
      <c r="E55" s="261">
        <f>'2026 Operating Runs '!D24</f>
        <v>8405</v>
      </c>
      <c r="F55" s="262" t="s">
        <v>361</v>
      </c>
      <c r="G55" s="261"/>
      <c r="H55" s="260"/>
      <c r="I55" s="260"/>
    </row>
    <row r="56" spans="1:12" x14ac:dyDescent="0.25">
      <c r="B56" s="258">
        <f>'2027 Operating Hours'!D24</f>
        <v>5634</v>
      </c>
      <c r="C56" s="259" t="s">
        <v>362</v>
      </c>
      <c r="E56" s="263">
        <f>'2027 Operating Runs'!D24</f>
        <v>8408</v>
      </c>
      <c r="F56" s="264" t="s">
        <v>363</v>
      </c>
      <c r="G56" s="246"/>
    </row>
    <row r="58" spans="1:12" x14ac:dyDescent="0.25">
      <c r="B58" s="265">
        <v>1900000</v>
      </c>
      <c r="C58" s="259" t="s">
        <v>296</v>
      </c>
    </row>
    <row r="59" spans="1:12" ht="15.75" x14ac:dyDescent="0.25">
      <c r="B59" s="266">
        <v>2150000</v>
      </c>
      <c r="C59" s="259" t="s">
        <v>364</v>
      </c>
      <c r="D59" s="444" t="s">
        <v>481</v>
      </c>
    </row>
    <row r="60" spans="1:12" ht="15.75" x14ac:dyDescent="0.25">
      <c r="B60" s="267"/>
      <c r="C60" s="238"/>
    </row>
    <row r="62" spans="1:12" x14ac:dyDescent="0.25">
      <c r="A62" s="548" t="s">
        <v>365</v>
      </c>
      <c r="B62" s="548"/>
      <c r="C62" s="548"/>
      <c r="D62" s="268">
        <v>2026</v>
      </c>
      <c r="E62" s="268">
        <v>2027</v>
      </c>
      <c r="F62" s="268"/>
      <c r="G62" s="268" t="s">
        <v>366</v>
      </c>
    </row>
    <row r="63" spans="1:12" x14ac:dyDescent="0.25">
      <c r="B63" s="547" t="s">
        <v>367</v>
      </c>
      <c r="C63" s="547"/>
      <c r="D63" s="229">
        <f>B58/B55</f>
        <v>338.25885704112517</v>
      </c>
      <c r="E63" s="229">
        <f>B59/B56</f>
        <v>381.61164359247425</v>
      </c>
      <c r="F63" s="229"/>
      <c r="G63" s="229">
        <f>AVERAGE(D63:E63)</f>
        <v>359.93525031679974</v>
      </c>
    </row>
    <row r="64" spans="1:12" x14ac:dyDescent="0.25">
      <c r="B64" s="546" t="s">
        <v>485</v>
      </c>
      <c r="C64" s="547"/>
      <c r="D64" s="229">
        <f>D50/B55</f>
        <v>102.99376891579135</v>
      </c>
      <c r="E64" s="229">
        <f>G50/B56</f>
        <v>80.176783812566555</v>
      </c>
      <c r="F64" s="229"/>
      <c r="G64" s="229">
        <f>AVERAGE(D64:E64)</f>
        <v>91.585276364178952</v>
      </c>
    </row>
    <row r="65" spans="1:15" x14ac:dyDescent="0.25">
      <c r="B65" s="545" t="s">
        <v>56</v>
      </c>
      <c r="C65" s="545"/>
      <c r="D65" s="229">
        <f>SUM(D63:D64)</f>
        <v>441.25262595691652</v>
      </c>
      <c r="E65" s="229">
        <f>SUM(E63:E64)</f>
        <v>461.78842740504081</v>
      </c>
      <c r="F65" s="229"/>
      <c r="G65" s="229">
        <f>AVERAGE(D65:E65)</f>
        <v>451.52052668097866</v>
      </c>
    </row>
    <row r="67" spans="1:15" x14ac:dyDescent="0.25">
      <c r="A67" s="548" t="s">
        <v>368</v>
      </c>
      <c r="B67" s="548"/>
      <c r="C67" s="268"/>
      <c r="D67" s="268">
        <v>2026</v>
      </c>
      <c r="E67" s="268">
        <v>2027</v>
      </c>
      <c r="F67" s="268"/>
      <c r="G67" s="268" t="s">
        <v>366</v>
      </c>
    </row>
    <row r="68" spans="1:15" x14ac:dyDescent="0.25">
      <c r="B68" s="547" t="s">
        <v>369</v>
      </c>
      <c r="C68" s="547"/>
      <c r="D68" s="229">
        <f>B58/E55</f>
        <v>226.05591909577632</v>
      </c>
      <c r="E68" s="229">
        <f>B59/E56</f>
        <v>255.70884871550905</v>
      </c>
      <c r="F68" s="229"/>
      <c r="G68" s="229">
        <f>AVERAGE(D68:E68)</f>
        <v>240.88238390564268</v>
      </c>
    </row>
    <row r="69" spans="1:15" x14ac:dyDescent="0.25">
      <c r="B69" s="547" t="s">
        <v>370</v>
      </c>
      <c r="C69" s="547"/>
      <c r="D69" s="229">
        <f>D50/E55</f>
        <v>68.829982153480074</v>
      </c>
      <c r="E69" s="229">
        <f>G50/E56</f>
        <v>53.724548049476688</v>
      </c>
      <c r="F69" s="229"/>
      <c r="G69" s="229">
        <f>AVERAGE(D69:E69)</f>
        <v>61.277265101478378</v>
      </c>
    </row>
    <row r="70" spans="1:15" x14ac:dyDescent="0.25">
      <c r="B70" s="545" t="s">
        <v>56</v>
      </c>
      <c r="C70" s="545"/>
      <c r="D70" s="229">
        <f>SUM(D68:D69)</f>
        <v>294.88590124925639</v>
      </c>
      <c r="E70" s="229">
        <f>SUM(E68:E69)</f>
        <v>309.43339676498573</v>
      </c>
      <c r="F70" s="229"/>
      <c r="G70" s="229">
        <f>AVERAGE(D70:E70)</f>
        <v>302.15964900712106</v>
      </c>
    </row>
    <row r="72" spans="1:15" ht="15.6" customHeight="1" x14ac:dyDescent="0.25">
      <c r="A72" s="221" t="s">
        <v>371</v>
      </c>
      <c r="C72" s="269">
        <f>I46</f>
        <v>636.75657346817366</v>
      </c>
      <c r="D72" s="444" t="s">
        <v>488</v>
      </c>
    </row>
    <row r="73" spans="1:15" ht="16.149999999999999" customHeight="1" x14ac:dyDescent="0.25">
      <c r="A73" s="221" t="s">
        <v>372</v>
      </c>
      <c r="C73" s="269">
        <f>I46*1.35</f>
        <v>859.62137418203451</v>
      </c>
      <c r="D73" s="444" t="s">
        <v>489</v>
      </c>
    </row>
    <row r="74" spans="1:15" ht="15.6" customHeight="1" x14ac:dyDescent="0.25">
      <c r="A74" s="221" t="s">
        <v>373</v>
      </c>
      <c r="C74" s="269">
        <f>H46*3</f>
        <v>2853.8290643818027</v>
      </c>
      <c r="D74" s="444" t="s">
        <v>490</v>
      </c>
    </row>
    <row r="75" spans="1:15" ht="16.149999999999999" customHeight="1" x14ac:dyDescent="0.25">
      <c r="A75" s="270" t="s">
        <v>374</v>
      </c>
      <c r="B75" s="270"/>
      <c r="C75" s="271">
        <f>H45</f>
        <v>581.28970711723855</v>
      </c>
      <c r="D75" s="454" t="s">
        <v>487</v>
      </c>
      <c r="E75" s="223"/>
      <c r="F75" s="223"/>
      <c r="G75" s="223"/>
      <c r="H75" s="223"/>
      <c r="I75" s="223"/>
      <c r="J75" s="223"/>
      <c r="K75" s="223"/>
      <c r="L75" s="223"/>
      <c r="M75" s="223"/>
      <c r="N75" s="223"/>
      <c r="O75" s="223"/>
    </row>
    <row r="76" spans="1:15" x14ac:dyDescent="0.25">
      <c r="A76" s="221" t="s">
        <v>375</v>
      </c>
    </row>
  </sheetData>
  <mergeCells count="12">
    <mergeCell ref="B63:C63"/>
    <mergeCell ref="B2:H2"/>
    <mergeCell ref="B10:H10"/>
    <mergeCell ref="B19:H19"/>
    <mergeCell ref="B26:H26"/>
    <mergeCell ref="A62:C62"/>
    <mergeCell ref="B70:C70"/>
    <mergeCell ref="B64:C64"/>
    <mergeCell ref="B65:C65"/>
    <mergeCell ref="A67:B67"/>
    <mergeCell ref="B68:C68"/>
    <mergeCell ref="B69:C69"/>
  </mergeCells>
  <pageMargins left="0.45" right="0.2" top="0.25" bottom="0.25" header="0.3" footer="0.3"/>
  <pageSetup scale="53" orientation="portrait" verticalDpi="1200"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24BD2-207D-4D12-896E-52DF370326FC}">
  <dimension ref="A1:F31"/>
  <sheetViews>
    <sheetView workbookViewId="0">
      <selection activeCell="B21" sqref="B21"/>
    </sheetView>
  </sheetViews>
  <sheetFormatPr defaultColWidth="8" defaultRowHeight="15" x14ac:dyDescent="0.25"/>
  <cols>
    <col min="1" max="1" width="12.5" style="273" customWidth="1"/>
    <col min="2" max="2" width="12" style="273" customWidth="1"/>
    <col min="3" max="3" width="12.75" style="273" customWidth="1"/>
    <col min="4" max="4" width="9.5" style="273" customWidth="1"/>
    <col min="5" max="5" width="12.375" style="273" customWidth="1"/>
    <col min="6" max="6" width="11.75" style="273" customWidth="1"/>
    <col min="7" max="7" width="8" style="273"/>
    <col min="8" max="8" width="8.125" style="273" customWidth="1"/>
    <col min="9" max="16384" width="8" style="273"/>
  </cols>
  <sheetData>
    <row r="1" spans="1:6" x14ac:dyDescent="0.25">
      <c r="A1" s="553" t="s">
        <v>394</v>
      </c>
      <c r="B1" s="553"/>
      <c r="C1" s="553"/>
    </row>
    <row r="2" spans="1:6" x14ac:dyDescent="0.25">
      <c r="B2" s="274" t="s">
        <v>382</v>
      </c>
      <c r="C2" s="274" t="s">
        <v>383</v>
      </c>
      <c r="D2" s="274"/>
      <c r="E2" s="274"/>
      <c r="F2" s="274"/>
    </row>
    <row r="3" spans="1:6" x14ac:dyDescent="0.25">
      <c r="A3" s="274" t="s">
        <v>384</v>
      </c>
      <c r="B3" s="275">
        <v>33</v>
      </c>
      <c r="C3" s="275">
        <v>19</v>
      </c>
      <c r="D3" s="275"/>
      <c r="E3" s="275"/>
      <c r="F3" s="275"/>
    </row>
    <row r="4" spans="1:6" x14ac:dyDescent="0.25">
      <c r="A4" s="273" t="s">
        <v>385</v>
      </c>
      <c r="B4" s="275">
        <v>18</v>
      </c>
      <c r="C4" s="275">
        <v>22</v>
      </c>
      <c r="D4" s="275"/>
      <c r="E4" s="275"/>
      <c r="F4" s="275"/>
    </row>
    <row r="5" spans="1:6" x14ac:dyDescent="0.25">
      <c r="A5" s="276" t="s">
        <v>320</v>
      </c>
      <c r="B5" s="277">
        <f>B3*B4</f>
        <v>594</v>
      </c>
      <c r="C5" s="277">
        <f>C3*C4</f>
        <v>418</v>
      </c>
      <c r="D5" s="275"/>
      <c r="E5" s="275"/>
      <c r="F5" s="275"/>
    </row>
    <row r="6" spans="1:6" x14ac:dyDescent="0.25">
      <c r="A6" s="274" t="s">
        <v>386</v>
      </c>
      <c r="B6" s="275">
        <f>52-C6</f>
        <v>33</v>
      </c>
      <c r="C6" s="275">
        <v>19</v>
      </c>
      <c r="D6" s="275"/>
      <c r="E6" s="275"/>
      <c r="F6" s="275"/>
    </row>
    <row r="7" spans="1:6" x14ac:dyDescent="0.25">
      <c r="A7" s="273" t="s">
        <v>385</v>
      </c>
      <c r="B7" s="275">
        <v>23</v>
      </c>
      <c r="C7" s="275">
        <v>23</v>
      </c>
      <c r="D7" s="275"/>
      <c r="E7" s="275"/>
      <c r="F7" s="275"/>
    </row>
    <row r="8" spans="1:6" x14ac:dyDescent="0.25">
      <c r="A8" s="276" t="s">
        <v>320</v>
      </c>
      <c r="B8" s="277">
        <f>B6*B7</f>
        <v>759</v>
      </c>
      <c r="C8" s="277">
        <f>C6*C7</f>
        <v>437</v>
      </c>
      <c r="D8" s="275"/>
      <c r="E8" s="275"/>
      <c r="F8" s="275"/>
    </row>
    <row r="9" spans="1:6" x14ac:dyDescent="0.25">
      <c r="A9" s="274" t="s">
        <v>387</v>
      </c>
      <c r="B9" s="275">
        <f>52-C9</f>
        <v>33</v>
      </c>
      <c r="C9" s="275">
        <v>19</v>
      </c>
      <c r="D9" s="275"/>
      <c r="E9" s="275"/>
      <c r="F9" s="275"/>
    </row>
    <row r="10" spans="1:6" x14ac:dyDescent="0.25">
      <c r="A10" s="273" t="s">
        <v>385</v>
      </c>
      <c r="B10" s="275">
        <v>23</v>
      </c>
      <c r="C10" s="275">
        <v>23</v>
      </c>
      <c r="D10" s="275"/>
      <c r="E10" s="275"/>
      <c r="F10" s="275"/>
    </row>
    <row r="11" spans="1:6" x14ac:dyDescent="0.25">
      <c r="A11" s="276" t="s">
        <v>320</v>
      </c>
      <c r="B11" s="277">
        <f>B9*B10</f>
        <v>759</v>
      </c>
      <c r="C11" s="277">
        <f>C9*C10</f>
        <v>437</v>
      </c>
      <c r="D11" s="275"/>
      <c r="E11" s="275"/>
      <c r="F11" s="275"/>
    </row>
    <row r="12" spans="1:6" x14ac:dyDescent="0.25">
      <c r="A12" s="274" t="s">
        <v>388</v>
      </c>
      <c r="B12" s="275">
        <v>33</v>
      </c>
      <c r="C12" s="275">
        <v>19</v>
      </c>
      <c r="D12" s="275"/>
      <c r="E12" s="275"/>
      <c r="F12" s="275"/>
    </row>
    <row r="13" spans="1:6" x14ac:dyDescent="0.25">
      <c r="A13" s="273" t="s">
        <v>385</v>
      </c>
      <c r="B13" s="275">
        <v>23</v>
      </c>
      <c r="C13" s="275">
        <v>23</v>
      </c>
      <c r="D13" s="275"/>
      <c r="E13" s="275"/>
      <c r="F13" s="275"/>
    </row>
    <row r="14" spans="1:6" x14ac:dyDescent="0.25">
      <c r="A14" s="276" t="s">
        <v>320</v>
      </c>
      <c r="B14" s="277">
        <f>B12*B13</f>
        <v>759</v>
      </c>
      <c r="C14" s="277">
        <f>C12*C13</f>
        <v>437</v>
      </c>
      <c r="D14" s="275"/>
      <c r="E14" s="275"/>
      <c r="F14" s="275"/>
    </row>
    <row r="15" spans="1:6" x14ac:dyDescent="0.25">
      <c r="A15" s="274" t="s">
        <v>389</v>
      </c>
      <c r="B15" s="275">
        <v>32</v>
      </c>
      <c r="C15" s="275">
        <v>20</v>
      </c>
      <c r="D15" s="275"/>
      <c r="E15" s="275"/>
      <c r="F15" s="275"/>
    </row>
    <row r="16" spans="1:6" x14ac:dyDescent="0.25">
      <c r="A16" s="273" t="s">
        <v>385</v>
      </c>
      <c r="B16" s="275">
        <v>23</v>
      </c>
      <c r="C16" s="275">
        <v>23</v>
      </c>
      <c r="D16" s="275"/>
      <c r="E16" s="275"/>
      <c r="F16" s="275"/>
    </row>
    <row r="17" spans="1:6" x14ac:dyDescent="0.25">
      <c r="A17" s="276" t="s">
        <v>320</v>
      </c>
      <c r="B17" s="277">
        <f>B15*B16</f>
        <v>736</v>
      </c>
      <c r="C17" s="277">
        <f>C15*C16</f>
        <v>460</v>
      </c>
      <c r="D17" s="275"/>
      <c r="E17" s="275"/>
      <c r="F17" s="275"/>
    </row>
    <row r="18" spans="1:6" x14ac:dyDescent="0.25">
      <c r="A18" s="274" t="s">
        <v>390</v>
      </c>
      <c r="B18" s="275">
        <v>34</v>
      </c>
      <c r="C18" s="275">
        <v>19</v>
      </c>
      <c r="D18" s="275"/>
      <c r="E18" s="275"/>
      <c r="F18" s="275"/>
    </row>
    <row r="19" spans="1:6" x14ac:dyDescent="0.25">
      <c r="A19" s="273" t="s">
        <v>385</v>
      </c>
      <c r="B19" s="275">
        <v>26</v>
      </c>
      <c r="C19" s="275">
        <v>26</v>
      </c>
      <c r="D19" s="275"/>
      <c r="E19" s="275"/>
      <c r="F19" s="275"/>
    </row>
    <row r="20" spans="1:6" x14ac:dyDescent="0.25">
      <c r="A20" s="276" t="s">
        <v>56</v>
      </c>
      <c r="B20" s="277">
        <f>B18*B19</f>
        <v>884</v>
      </c>
      <c r="C20" s="277">
        <f>C18*C19</f>
        <v>494</v>
      </c>
      <c r="D20" s="275"/>
      <c r="E20" s="275"/>
      <c r="F20" s="275"/>
    </row>
    <row r="21" spans="1:6" x14ac:dyDescent="0.25">
      <c r="A21" s="274" t="s">
        <v>391</v>
      </c>
      <c r="B21" s="275">
        <f>52-C21</f>
        <v>33</v>
      </c>
      <c r="C21" s="275">
        <v>19</v>
      </c>
      <c r="D21" s="275"/>
      <c r="E21" s="275"/>
      <c r="F21" s="275"/>
    </row>
    <row r="22" spans="1:6" x14ac:dyDescent="0.25">
      <c r="A22" s="273" t="s">
        <v>392</v>
      </c>
      <c r="B22" s="275">
        <v>23</v>
      </c>
      <c r="C22" s="275">
        <v>25</v>
      </c>
      <c r="D22" s="275"/>
      <c r="E22" s="275"/>
      <c r="F22" s="275"/>
    </row>
    <row r="23" spans="1:6" x14ac:dyDescent="0.25">
      <c r="A23" s="276" t="s">
        <v>320</v>
      </c>
      <c r="B23" s="277">
        <f>B21*B22</f>
        <v>759</v>
      </c>
      <c r="C23" s="277">
        <f>C21*C22</f>
        <v>475</v>
      </c>
      <c r="D23" s="275"/>
      <c r="E23" s="275"/>
      <c r="F23" s="275"/>
    </row>
    <row r="24" spans="1:6" x14ac:dyDescent="0.25">
      <c r="A24" s="276" t="s">
        <v>56</v>
      </c>
      <c r="B24" s="277">
        <f>B5+B8+B11+B14+B17+B20+B23</f>
        <v>5250</v>
      </c>
      <c r="C24" s="277">
        <f>C5+C8+C11+C14+C17+C20+C23</f>
        <v>3158</v>
      </c>
      <c r="D24" s="277">
        <f>C24+B24</f>
        <v>8408</v>
      </c>
      <c r="E24" s="277"/>
      <c r="F24" s="277"/>
    </row>
    <row r="25" spans="1:6" x14ac:dyDescent="0.25">
      <c r="B25" s="275"/>
      <c r="C25" s="275"/>
    </row>
    <row r="26" spans="1:6" x14ac:dyDescent="0.25">
      <c r="A26" s="274"/>
      <c r="B26" s="275"/>
      <c r="C26" s="275"/>
    </row>
    <row r="27" spans="1:6" x14ac:dyDescent="0.25">
      <c r="A27" s="278"/>
    </row>
    <row r="29" spans="1:6" x14ac:dyDescent="0.25">
      <c r="B29" s="275"/>
    </row>
    <row r="31" spans="1:6" x14ac:dyDescent="0.25">
      <c r="B31" s="275"/>
    </row>
  </sheetData>
  <mergeCells count="1">
    <mergeCell ref="A1:C1"/>
  </mergeCells>
  <pageMargins left="0.7" right="0.7" top="0.75" bottom="0.75" header="0.3" footer="0.3"/>
  <pageSetup orientation="portrait" verticalDpi="4294967295"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1D66F-F265-47FC-B3DB-FA5ED3F75845}">
  <dimension ref="A1:F31"/>
  <sheetViews>
    <sheetView workbookViewId="0">
      <selection sqref="A1:C1"/>
    </sheetView>
  </sheetViews>
  <sheetFormatPr defaultColWidth="8" defaultRowHeight="15" x14ac:dyDescent="0.25"/>
  <cols>
    <col min="1" max="1" width="12.5" style="273" customWidth="1"/>
    <col min="2" max="2" width="12" style="273" customWidth="1"/>
    <col min="3" max="3" width="13.25" style="273" customWidth="1"/>
    <col min="4" max="4" width="9.5" style="273" customWidth="1"/>
    <col min="5" max="5" width="12.375" style="273" customWidth="1"/>
    <col min="6" max="6" width="11.75" style="273" customWidth="1"/>
    <col min="7" max="7" width="8" style="273"/>
    <col min="8" max="8" width="8.125" style="273" customWidth="1"/>
    <col min="9" max="16384" width="8" style="273"/>
  </cols>
  <sheetData>
    <row r="1" spans="1:6" x14ac:dyDescent="0.25">
      <c r="A1" s="553" t="s">
        <v>393</v>
      </c>
      <c r="B1" s="553"/>
      <c r="C1" s="553"/>
    </row>
    <row r="2" spans="1:6" x14ac:dyDescent="0.25">
      <c r="B2" s="274" t="s">
        <v>382</v>
      </c>
      <c r="C2" s="274" t="s">
        <v>383</v>
      </c>
      <c r="D2" s="274"/>
      <c r="E2" s="274"/>
      <c r="F2" s="274"/>
    </row>
    <row r="3" spans="1:6" x14ac:dyDescent="0.25">
      <c r="A3" s="274" t="s">
        <v>384</v>
      </c>
      <c r="B3" s="275">
        <v>33</v>
      </c>
      <c r="C3" s="275">
        <v>19</v>
      </c>
      <c r="D3" s="275"/>
      <c r="E3" s="275"/>
      <c r="F3" s="275"/>
    </row>
    <row r="4" spans="1:6" x14ac:dyDescent="0.25">
      <c r="A4" s="273" t="s">
        <v>392</v>
      </c>
      <c r="B4" s="275">
        <v>13</v>
      </c>
      <c r="C4" s="275">
        <v>15</v>
      </c>
      <c r="D4" s="275"/>
      <c r="E4" s="275"/>
      <c r="F4" s="275"/>
    </row>
    <row r="5" spans="1:6" x14ac:dyDescent="0.25">
      <c r="A5" s="276" t="s">
        <v>320</v>
      </c>
      <c r="B5" s="277">
        <f>B3*B4</f>
        <v>429</v>
      </c>
      <c r="C5" s="277">
        <f>C3*C4</f>
        <v>285</v>
      </c>
      <c r="D5" s="275"/>
      <c r="E5" s="275"/>
      <c r="F5" s="275"/>
    </row>
    <row r="6" spans="1:6" x14ac:dyDescent="0.25">
      <c r="A6" s="274" t="s">
        <v>386</v>
      </c>
      <c r="B6" s="275">
        <f>52-C6</f>
        <v>33</v>
      </c>
      <c r="C6" s="275">
        <v>19</v>
      </c>
      <c r="D6" s="275"/>
      <c r="E6" s="275"/>
      <c r="F6" s="275"/>
    </row>
    <row r="7" spans="1:6" x14ac:dyDescent="0.25">
      <c r="A7" s="273" t="s">
        <v>392</v>
      </c>
      <c r="B7" s="275">
        <v>15</v>
      </c>
      <c r="C7" s="275">
        <v>15</v>
      </c>
      <c r="D7" s="275"/>
      <c r="E7" s="275"/>
      <c r="F7" s="275"/>
    </row>
    <row r="8" spans="1:6" x14ac:dyDescent="0.25">
      <c r="A8" s="276" t="s">
        <v>320</v>
      </c>
      <c r="B8" s="277">
        <f>B6*B7</f>
        <v>495</v>
      </c>
      <c r="C8" s="277">
        <f>C6*C7</f>
        <v>285</v>
      </c>
      <c r="D8" s="275"/>
      <c r="E8" s="275"/>
      <c r="F8" s="275"/>
    </row>
    <row r="9" spans="1:6" x14ac:dyDescent="0.25">
      <c r="A9" s="274" t="s">
        <v>387</v>
      </c>
      <c r="B9" s="275">
        <v>33</v>
      </c>
      <c r="C9" s="275">
        <v>19</v>
      </c>
      <c r="D9" s="275"/>
      <c r="E9" s="275"/>
      <c r="F9" s="275"/>
    </row>
    <row r="10" spans="1:6" x14ac:dyDescent="0.25">
      <c r="A10" s="273" t="s">
        <v>392</v>
      </c>
      <c r="B10" s="275">
        <v>15</v>
      </c>
      <c r="C10" s="275">
        <v>15</v>
      </c>
      <c r="D10" s="275"/>
      <c r="E10" s="275"/>
      <c r="F10" s="275"/>
    </row>
    <row r="11" spans="1:6" x14ac:dyDescent="0.25">
      <c r="A11" s="276" t="s">
        <v>320</v>
      </c>
      <c r="B11" s="277">
        <f>B9*B10</f>
        <v>495</v>
      </c>
      <c r="C11" s="277">
        <f>C9*C10</f>
        <v>285</v>
      </c>
      <c r="D11" s="275"/>
      <c r="E11" s="275"/>
      <c r="F11" s="275"/>
    </row>
    <row r="12" spans="1:6" x14ac:dyDescent="0.25">
      <c r="A12" s="274" t="s">
        <v>388</v>
      </c>
      <c r="B12" s="275">
        <f>53-C12</f>
        <v>34</v>
      </c>
      <c r="C12" s="275">
        <v>19</v>
      </c>
      <c r="D12" s="275"/>
      <c r="E12" s="275"/>
      <c r="F12" s="275"/>
    </row>
    <row r="13" spans="1:6" x14ac:dyDescent="0.25">
      <c r="A13" s="273" t="s">
        <v>392</v>
      </c>
      <c r="B13" s="275">
        <v>15</v>
      </c>
      <c r="C13" s="275">
        <v>15</v>
      </c>
      <c r="D13" s="275"/>
      <c r="E13" s="275"/>
      <c r="F13" s="275"/>
    </row>
    <row r="14" spans="1:6" x14ac:dyDescent="0.25">
      <c r="A14" s="276" t="s">
        <v>320</v>
      </c>
      <c r="B14" s="277">
        <f>B12*B13</f>
        <v>510</v>
      </c>
      <c r="C14" s="277">
        <f>C12*C13</f>
        <v>285</v>
      </c>
      <c r="D14" s="275"/>
      <c r="E14" s="275"/>
      <c r="F14" s="275"/>
    </row>
    <row r="15" spans="1:6" x14ac:dyDescent="0.25">
      <c r="A15" s="274" t="s">
        <v>389</v>
      </c>
      <c r="B15" s="275">
        <v>32</v>
      </c>
      <c r="C15" s="275">
        <v>20</v>
      </c>
      <c r="D15" s="275"/>
      <c r="E15" s="275"/>
      <c r="F15" s="275"/>
    </row>
    <row r="16" spans="1:6" x14ac:dyDescent="0.25">
      <c r="A16" s="273" t="s">
        <v>392</v>
      </c>
      <c r="B16" s="275">
        <v>15</v>
      </c>
      <c r="C16" s="275">
        <v>15</v>
      </c>
      <c r="D16" s="275"/>
      <c r="E16" s="275"/>
      <c r="F16" s="275"/>
    </row>
    <row r="17" spans="1:6" x14ac:dyDescent="0.25">
      <c r="A17" s="276" t="s">
        <v>320</v>
      </c>
      <c r="B17" s="277">
        <f>B15*B16</f>
        <v>480</v>
      </c>
      <c r="C17" s="277">
        <f>C15*C16</f>
        <v>300</v>
      </c>
      <c r="D17" s="275"/>
      <c r="E17" s="275"/>
      <c r="F17" s="275"/>
    </row>
    <row r="18" spans="1:6" x14ac:dyDescent="0.25">
      <c r="A18" s="274" t="s">
        <v>390</v>
      </c>
      <c r="B18" s="275">
        <v>34</v>
      </c>
      <c r="C18" s="275">
        <v>19</v>
      </c>
      <c r="D18" s="275"/>
      <c r="E18" s="275"/>
      <c r="F18" s="275"/>
    </row>
    <row r="19" spans="1:6" x14ac:dyDescent="0.25">
      <c r="A19" s="273" t="s">
        <v>392</v>
      </c>
      <c r="B19" s="275">
        <v>17</v>
      </c>
      <c r="C19" s="275">
        <v>17</v>
      </c>
      <c r="D19" s="275"/>
      <c r="E19" s="275"/>
      <c r="F19" s="275"/>
    </row>
    <row r="20" spans="1:6" x14ac:dyDescent="0.25">
      <c r="A20" s="276" t="s">
        <v>56</v>
      </c>
      <c r="B20" s="277">
        <f>B18*B19</f>
        <v>578</v>
      </c>
      <c r="C20" s="277">
        <f>C18*C19</f>
        <v>323</v>
      </c>
      <c r="D20" s="275"/>
      <c r="E20" s="275"/>
      <c r="F20" s="275"/>
    </row>
    <row r="21" spans="1:6" x14ac:dyDescent="0.25">
      <c r="A21" s="274" t="s">
        <v>391</v>
      </c>
      <c r="B21" s="275">
        <f>52-C21</f>
        <v>33</v>
      </c>
      <c r="C21" s="275">
        <v>19</v>
      </c>
      <c r="D21" s="275"/>
      <c r="E21" s="275"/>
      <c r="F21" s="275"/>
    </row>
    <row r="22" spans="1:6" x14ac:dyDescent="0.25">
      <c r="A22" s="273" t="s">
        <v>392</v>
      </c>
      <c r="B22" s="275">
        <v>17</v>
      </c>
      <c r="C22" s="275">
        <v>17</v>
      </c>
      <c r="D22" s="275"/>
      <c r="E22" s="275"/>
      <c r="F22" s="275"/>
    </row>
    <row r="23" spans="1:6" x14ac:dyDescent="0.25">
      <c r="A23" s="276" t="s">
        <v>320</v>
      </c>
      <c r="B23" s="277">
        <f>B21*B22</f>
        <v>561</v>
      </c>
      <c r="C23" s="277">
        <f>C21*C22</f>
        <v>323</v>
      </c>
      <c r="D23" s="275"/>
      <c r="E23" s="275"/>
      <c r="F23" s="275"/>
    </row>
    <row r="24" spans="1:6" x14ac:dyDescent="0.25">
      <c r="A24" s="276" t="s">
        <v>56</v>
      </c>
      <c r="B24" s="277">
        <f>B5+B8+B11+B14+B17+B20+B23</f>
        <v>3548</v>
      </c>
      <c r="C24" s="277">
        <f>C5+C8+C11+C14+C17+C20+C23</f>
        <v>2086</v>
      </c>
      <c r="D24" s="277">
        <f>C24+B24</f>
        <v>5634</v>
      </c>
      <c r="E24" s="277"/>
      <c r="F24" s="277"/>
    </row>
    <row r="25" spans="1:6" x14ac:dyDescent="0.25">
      <c r="B25" s="275"/>
      <c r="C25" s="275"/>
    </row>
    <row r="26" spans="1:6" x14ac:dyDescent="0.25">
      <c r="A26" s="274"/>
      <c r="B26" s="275"/>
      <c r="C26" s="275"/>
    </row>
    <row r="27" spans="1:6" x14ac:dyDescent="0.25">
      <c r="A27" s="278"/>
    </row>
    <row r="29" spans="1:6" x14ac:dyDescent="0.25">
      <c r="B29" s="275"/>
    </row>
    <row r="31" spans="1:6" x14ac:dyDescent="0.25">
      <c r="B31" s="275"/>
    </row>
  </sheetData>
  <mergeCells count="1">
    <mergeCell ref="A1:C1"/>
  </mergeCells>
  <pageMargins left="0.7" right="0.7" top="0.75" bottom="0.75" header="0.3" footer="0.3"/>
  <pageSetup orientation="portrait" verticalDpi="4294967295"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BEA0D-B605-4B87-8D38-82C1B5291159}">
  <dimension ref="A1:F31"/>
  <sheetViews>
    <sheetView workbookViewId="0">
      <selection activeCell="C21" sqref="C21"/>
    </sheetView>
  </sheetViews>
  <sheetFormatPr defaultColWidth="8" defaultRowHeight="15" x14ac:dyDescent="0.25"/>
  <cols>
    <col min="1" max="1" width="12.5" style="273" customWidth="1"/>
    <col min="2" max="2" width="12" style="273" customWidth="1"/>
    <col min="3" max="3" width="13.375" style="273" customWidth="1"/>
    <col min="4" max="4" width="9.5" style="273" customWidth="1"/>
    <col min="5" max="5" width="12.375" style="273" customWidth="1"/>
    <col min="6" max="6" width="11.75" style="273" customWidth="1"/>
    <col min="7" max="7" width="8" style="273"/>
    <col min="8" max="8" width="8.125" style="273" customWidth="1"/>
    <col min="9" max="16384" width="8" style="273"/>
  </cols>
  <sheetData>
    <row r="1" spans="1:6" x14ac:dyDescent="0.25">
      <c r="A1" s="553" t="s">
        <v>381</v>
      </c>
      <c r="B1" s="553"/>
      <c r="C1" s="553"/>
    </row>
    <row r="2" spans="1:6" x14ac:dyDescent="0.25">
      <c r="B2" s="274" t="s">
        <v>382</v>
      </c>
      <c r="C2" s="274" t="s">
        <v>383</v>
      </c>
      <c r="D2" s="274"/>
      <c r="E2" s="274"/>
      <c r="F2" s="274"/>
    </row>
    <row r="3" spans="1:6" x14ac:dyDescent="0.25">
      <c r="A3" s="274" t="s">
        <v>384</v>
      </c>
      <c r="B3" s="275">
        <v>33</v>
      </c>
      <c r="C3" s="275">
        <v>19</v>
      </c>
      <c r="D3" s="275"/>
      <c r="E3" s="275"/>
      <c r="F3" s="275"/>
    </row>
    <row r="4" spans="1:6" x14ac:dyDescent="0.25">
      <c r="A4" s="273" t="s">
        <v>385</v>
      </c>
      <c r="B4" s="275">
        <v>18</v>
      </c>
      <c r="C4" s="275">
        <v>22</v>
      </c>
      <c r="D4" s="275"/>
      <c r="E4" s="275"/>
      <c r="F4" s="275"/>
    </row>
    <row r="5" spans="1:6" x14ac:dyDescent="0.25">
      <c r="A5" s="276" t="s">
        <v>320</v>
      </c>
      <c r="B5" s="277">
        <f>B3*B4</f>
        <v>594</v>
      </c>
      <c r="C5" s="277">
        <f>C3*C4</f>
        <v>418</v>
      </c>
      <c r="D5" s="275"/>
      <c r="E5" s="275"/>
      <c r="F5" s="275"/>
    </row>
    <row r="6" spans="1:6" x14ac:dyDescent="0.25">
      <c r="A6" s="274" t="s">
        <v>386</v>
      </c>
      <c r="B6" s="275">
        <v>33</v>
      </c>
      <c r="C6" s="275">
        <v>19</v>
      </c>
      <c r="D6" s="275"/>
      <c r="E6" s="275"/>
      <c r="F6" s="275"/>
    </row>
    <row r="7" spans="1:6" x14ac:dyDescent="0.25">
      <c r="A7" s="273" t="s">
        <v>385</v>
      </c>
      <c r="B7" s="275">
        <v>23</v>
      </c>
      <c r="C7" s="275">
        <v>23</v>
      </c>
      <c r="D7" s="275"/>
      <c r="E7" s="275"/>
      <c r="F7" s="275"/>
    </row>
    <row r="8" spans="1:6" x14ac:dyDescent="0.25">
      <c r="A8" s="276" t="s">
        <v>320</v>
      </c>
      <c r="B8" s="277">
        <f>B6*B7</f>
        <v>759</v>
      </c>
      <c r="C8" s="277">
        <f>C6*C7</f>
        <v>437</v>
      </c>
      <c r="D8" s="275"/>
      <c r="E8" s="275"/>
      <c r="F8" s="275"/>
    </row>
    <row r="9" spans="1:6" x14ac:dyDescent="0.25">
      <c r="A9" s="274" t="s">
        <v>387</v>
      </c>
      <c r="B9" s="275">
        <v>33</v>
      </c>
      <c r="C9" s="275">
        <v>19</v>
      </c>
      <c r="D9" s="275"/>
      <c r="E9" s="275"/>
      <c r="F9" s="275"/>
    </row>
    <row r="10" spans="1:6" x14ac:dyDescent="0.25">
      <c r="A10" s="273" t="s">
        <v>385</v>
      </c>
      <c r="B10" s="275">
        <v>23</v>
      </c>
      <c r="C10" s="275">
        <v>23</v>
      </c>
      <c r="D10" s="275"/>
      <c r="E10" s="275"/>
      <c r="F10" s="275"/>
    </row>
    <row r="11" spans="1:6" x14ac:dyDescent="0.25">
      <c r="A11" s="276" t="s">
        <v>320</v>
      </c>
      <c r="B11" s="277">
        <f>B9*B10</f>
        <v>759</v>
      </c>
      <c r="C11" s="277">
        <f>C9*C10</f>
        <v>437</v>
      </c>
      <c r="D11" s="275"/>
      <c r="E11" s="275"/>
      <c r="F11" s="275"/>
    </row>
    <row r="12" spans="1:6" x14ac:dyDescent="0.25">
      <c r="A12" s="274" t="s">
        <v>388</v>
      </c>
      <c r="B12" s="275">
        <v>32</v>
      </c>
      <c r="C12" s="275">
        <v>20</v>
      </c>
      <c r="D12" s="275"/>
      <c r="E12" s="275"/>
      <c r="F12" s="275"/>
    </row>
    <row r="13" spans="1:6" x14ac:dyDescent="0.25">
      <c r="A13" s="273" t="s">
        <v>385</v>
      </c>
      <c r="B13" s="275">
        <v>23</v>
      </c>
      <c r="C13" s="275">
        <v>23</v>
      </c>
      <c r="D13" s="275"/>
      <c r="E13" s="275"/>
      <c r="F13" s="275"/>
    </row>
    <row r="14" spans="1:6" x14ac:dyDescent="0.25">
      <c r="A14" s="276" t="s">
        <v>320</v>
      </c>
      <c r="B14" s="277">
        <f>B12*B13</f>
        <v>736</v>
      </c>
      <c r="C14" s="277">
        <f>C12*C13</f>
        <v>460</v>
      </c>
      <c r="D14" s="275"/>
      <c r="E14" s="275"/>
      <c r="F14" s="275"/>
    </row>
    <row r="15" spans="1:6" x14ac:dyDescent="0.25">
      <c r="A15" s="274" t="s">
        <v>389</v>
      </c>
      <c r="B15" s="275">
        <v>34</v>
      </c>
      <c r="C15" s="275">
        <v>19</v>
      </c>
      <c r="D15" s="275"/>
      <c r="E15" s="275"/>
      <c r="F15" s="275"/>
    </row>
    <row r="16" spans="1:6" x14ac:dyDescent="0.25">
      <c r="A16" s="273" t="s">
        <v>385</v>
      </c>
      <c r="B16" s="275">
        <v>23</v>
      </c>
      <c r="C16" s="275">
        <v>23</v>
      </c>
      <c r="D16" s="275"/>
      <c r="E16" s="275"/>
      <c r="F16" s="275"/>
    </row>
    <row r="17" spans="1:6" x14ac:dyDescent="0.25">
      <c r="A17" s="276" t="s">
        <v>320</v>
      </c>
      <c r="B17" s="277">
        <f>B15*B16</f>
        <v>782</v>
      </c>
      <c r="C17" s="277">
        <f>C15*C16</f>
        <v>437</v>
      </c>
      <c r="D17" s="275"/>
      <c r="E17" s="275"/>
      <c r="F17" s="275"/>
    </row>
    <row r="18" spans="1:6" x14ac:dyDescent="0.25">
      <c r="A18" s="274" t="s">
        <v>390</v>
      </c>
      <c r="B18" s="275">
        <v>33</v>
      </c>
      <c r="C18" s="275">
        <v>19</v>
      </c>
      <c r="D18" s="275"/>
      <c r="E18" s="275"/>
      <c r="F18" s="275"/>
    </row>
    <row r="19" spans="1:6" x14ac:dyDescent="0.25">
      <c r="A19" s="273" t="s">
        <v>385</v>
      </c>
      <c r="B19" s="275">
        <v>26</v>
      </c>
      <c r="C19" s="275">
        <v>26</v>
      </c>
      <c r="D19" s="275"/>
      <c r="E19" s="275"/>
      <c r="F19" s="275"/>
    </row>
    <row r="20" spans="1:6" x14ac:dyDescent="0.25">
      <c r="A20" s="276" t="s">
        <v>56</v>
      </c>
      <c r="B20" s="277">
        <f>B18*B19</f>
        <v>858</v>
      </c>
      <c r="C20" s="277">
        <f>C18*C19</f>
        <v>494</v>
      </c>
      <c r="D20" s="275"/>
      <c r="E20" s="275"/>
      <c r="F20" s="275"/>
    </row>
    <row r="21" spans="1:6" x14ac:dyDescent="0.25">
      <c r="A21" s="274" t="s">
        <v>391</v>
      </c>
      <c r="B21" s="275">
        <v>33</v>
      </c>
      <c r="C21" s="275">
        <v>19</v>
      </c>
      <c r="D21" s="275"/>
      <c r="E21" s="275"/>
      <c r="F21" s="275"/>
    </row>
    <row r="22" spans="1:6" x14ac:dyDescent="0.25">
      <c r="A22" s="273" t="s">
        <v>392</v>
      </c>
      <c r="B22" s="275">
        <v>23</v>
      </c>
      <c r="C22" s="275">
        <v>25</v>
      </c>
      <c r="D22" s="275"/>
      <c r="E22" s="275"/>
      <c r="F22" s="275"/>
    </row>
    <row r="23" spans="1:6" x14ac:dyDescent="0.25">
      <c r="A23" s="276" t="s">
        <v>320</v>
      </c>
      <c r="B23" s="277">
        <f>B21*B22</f>
        <v>759</v>
      </c>
      <c r="C23" s="277">
        <f>C21*C22</f>
        <v>475</v>
      </c>
      <c r="D23" s="275"/>
      <c r="E23" s="275"/>
      <c r="F23" s="275"/>
    </row>
    <row r="24" spans="1:6" x14ac:dyDescent="0.25">
      <c r="A24" s="276" t="s">
        <v>56</v>
      </c>
      <c r="B24" s="277">
        <f>B5+B8+B11+B14+B17+B20+B23</f>
        <v>5247</v>
      </c>
      <c r="C24" s="277">
        <f>C5+C8+C11+C14+C17+C20+C23</f>
        <v>3158</v>
      </c>
      <c r="D24" s="277">
        <f>C24+B24</f>
        <v>8405</v>
      </c>
      <c r="E24" s="277"/>
      <c r="F24" s="277"/>
    </row>
    <row r="25" spans="1:6" x14ac:dyDescent="0.25">
      <c r="B25" s="275"/>
      <c r="C25" s="275"/>
    </row>
    <row r="26" spans="1:6" x14ac:dyDescent="0.25">
      <c r="A26" s="274"/>
      <c r="B26" s="275"/>
      <c r="C26" s="275"/>
    </row>
    <row r="27" spans="1:6" x14ac:dyDescent="0.25">
      <c r="A27" s="278"/>
    </row>
    <row r="29" spans="1:6" x14ac:dyDescent="0.25">
      <c r="B29" s="275"/>
    </row>
    <row r="31" spans="1:6" x14ac:dyDescent="0.25">
      <c r="B31" s="275"/>
    </row>
  </sheetData>
  <mergeCells count="1">
    <mergeCell ref="A1:C1"/>
  </mergeCells>
  <pageMargins left="0.7" right="0.7" top="0.75" bottom="0.75" header="0.3" footer="0.3"/>
  <pageSetup orientation="portrait" verticalDpi="4294967295"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230B2-FE75-4A1A-9D9E-A3D064FC90F8}">
  <dimension ref="A1:F31"/>
  <sheetViews>
    <sheetView workbookViewId="0">
      <selection activeCell="C21" sqref="C21"/>
    </sheetView>
  </sheetViews>
  <sheetFormatPr defaultColWidth="8" defaultRowHeight="15" x14ac:dyDescent="0.25"/>
  <cols>
    <col min="1" max="1" width="12.5" style="273" customWidth="1"/>
    <col min="2" max="2" width="12" style="273" customWidth="1"/>
    <col min="3" max="3" width="13.125" style="273" customWidth="1"/>
    <col min="4" max="4" width="9.5" style="273" customWidth="1"/>
    <col min="5" max="5" width="12.375" style="273" customWidth="1"/>
    <col min="6" max="6" width="11.75" style="273" customWidth="1"/>
    <col min="7" max="7" width="8" style="273"/>
    <col min="8" max="8" width="8.125" style="273" customWidth="1"/>
    <col min="9" max="16384" width="8" style="273"/>
  </cols>
  <sheetData>
    <row r="1" spans="1:6" x14ac:dyDescent="0.25">
      <c r="A1" s="553" t="s">
        <v>398</v>
      </c>
      <c r="B1" s="553"/>
      <c r="C1" s="553"/>
    </row>
    <row r="2" spans="1:6" x14ac:dyDescent="0.25">
      <c r="B2" s="274" t="s">
        <v>382</v>
      </c>
      <c r="C2" s="274" t="s">
        <v>383</v>
      </c>
      <c r="D2" s="274"/>
      <c r="E2" s="274"/>
      <c r="F2" s="274"/>
    </row>
    <row r="3" spans="1:6" x14ac:dyDescent="0.25">
      <c r="A3" s="274" t="s">
        <v>384</v>
      </c>
      <c r="B3" s="275">
        <v>33</v>
      </c>
      <c r="C3" s="275">
        <v>19</v>
      </c>
      <c r="D3" s="275"/>
      <c r="E3" s="275"/>
      <c r="F3" s="275"/>
    </row>
    <row r="4" spans="1:6" x14ac:dyDescent="0.25">
      <c r="A4" s="273" t="s">
        <v>392</v>
      </c>
      <c r="B4" s="275">
        <v>13</v>
      </c>
      <c r="C4" s="275">
        <v>15</v>
      </c>
      <c r="D4" s="275"/>
      <c r="E4" s="275"/>
      <c r="F4" s="275"/>
    </row>
    <row r="5" spans="1:6" x14ac:dyDescent="0.25">
      <c r="A5" s="276" t="s">
        <v>320</v>
      </c>
      <c r="B5" s="277">
        <f>B3*B4</f>
        <v>429</v>
      </c>
      <c r="C5" s="277">
        <f>C3*C4</f>
        <v>285</v>
      </c>
      <c r="D5" s="275"/>
      <c r="E5" s="275"/>
      <c r="F5" s="275"/>
    </row>
    <row r="6" spans="1:6" x14ac:dyDescent="0.25">
      <c r="A6" s="274" t="s">
        <v>386</v>
      </c>
      <c r="B6" s="275">
        <f>52-C6</f>
        <v>33</v>
      </c>
      <c r="C6" s="275">
        <v>19</v>
      </c>
      <c r="D6" s="275"/>
      <c r="E6" s="275"/>
      <c r="F6" s="275"/>
    </row>
    <row r="7" spans="1:6" x14ac:dyDescent="0.25">
      <c r="A7" s="273" t="s">
        <v>392</v>
      </c>
      <c r="B7" s="275">
        <v>15</v>
      </c>
      <c r="C7" s="275">
        <v>15</v>
      </c>
      <c r="D7" s="275"/>
      <c r="E7" s="275"/>
      <c r="F7" s="275"/>
    </row>
    <row r="8" spans="1:6" x14ac:dyDescent="0.25">
      <c r="A8" s="276" t="s">
        <v>320</v>
      </c>
      <c r="B8" s="277">
        <f>B6*B7</f>
        <v>495</v>
      </c>
      <c r="C8" s="277">
        <f>C6*C7</f>
        <v>285</v>
      </c>
      <c r="D8" s="275"/>
      <c r="E8" s="275"/>
      <c r="F8" s="275"/>
    </row>
    <row r="9" spans="1:6" x14ac:dyDescent="0.25">
      <c r="A9" s="274" t="s">
        <v>387</v>
      </c>
      <c r="B9" s="275">
        <v>33</v>
      </c>
      <c r="C9" s="275">
        <v>19</v>
      </c>
      <c r="D9" s="275"/>
      <c r="E9" s="275"/>
      <c r="F9" s="275"/>
    </row>
    <row r="10" spans="1:6" x14ac:dyDescent="0.25">
      <c r="A10" s="273" t="s">
        <v>392</v>
      </c>
      <c r="B10" s="275">
        <v>15</v>
      </c>
      <c r="C10" s="275">
        <v>15</v>
      </c>
      <c r="D10" s="275"/>
      <c r="E10" s="275"/>
      <c r="F10" s="275"/>
    </row>
    <row r="11" spans="1:6" x14ac:dyDescent="0.25">
      <c r="A11" s="276" t="s">
        <v>320</v>
      </c>
      <c r="B11" s="277">
        <f>B9*B10</f>
        <v>495</v>
      </c>
      <c r="C11" s="277">
        <f>C9*C10</f>
        <v>285</v>
      </c>
      <c r="D11" s="275"/>
      <c r="E11" s="275"/>
      <c r="F11" s="275"/>
    </row>
    <row r="12" spans="1:6" x14ac:dyDescent="0.25">
      <c r="A12" s="274" t="s">
        <v>388</v>
      </c>
      <c r="B12" s="275">
        <v>32</v>
      </c>
      <c r="C12" s="275">
        <v>20</v>
      </c>
      <c r="D12" s="275"/>
      <c r="E12" s="275"/>
      <c r="F12" s="275"/>
    </row>
    <row r="13" spans="1:6" x14ac:dyDescent="0.25">
      <c r="A13" s="273" t="s">
        <v>392</v>
      </c>
      <c r="B13" s="275">
        <v>15</v>
      </c>
      <c r="C13" s="275">
        <v>15</v>
      </c>
      <c r="D13" s="275"/>
      <c r="E13" s="275"/>
      <c r="F13" s="275"/>
    </row>
    <row r="14" spans="1:6" x14ac:dyDescent="0.25">
      <c r="A14" s="276" t="s">
        <v>320</v>
      </c>
      <c r="B14" s="277">
        <f>B12*B13</f>
        <v>480</v>
      </c>
      <c r="C14" s="277">
        <f>C12*C13</f>
        <v>300</v>
      </c>
      <c r="D14" s="275"/>
      <c r="E14" s="275"/>
      <c r="F14" s="275"/>
    </row>
    <row r="15" spans="1:6" x14ac:dyDescent="0.25">
      <c r="A15" s="274" t="s">
        <v>389</v>
      </c>
      <c r="B15" s="275">
        <v>34</v>
      </c>
      <c r="C15" s="275">
        <v>19</v>
      </c>
      <c r="D15" s="275"/>
      <c r="E15" s="275"/>
      <c r="F15" s="275"/>
    </row>
    <row r="16" spans="1:6" x14ac:dyDescent="0.25">
      <c r="A16" s="273" t="s">
        <v>392</v>
      </c>
      <c r="B16" s="275">
        <v>15</v>
      </c>
      <c r="C16" s="275">
        <v>15</v>
      </c>
      <c r="D16" s="275"/>
      <c r="E16" s="275"/>
      <c r="F16" s="275"/>
    </row>
    <row r="17" spans="1:6" x14ac:dyDescent="0.25">
      <c r="A17" s="276" t="s">
        <v>320</v>
      </c>
      <c r="B17" s="277">
        <f>B15*B16</f>
        <v>510</v>
      </c>
      <c r="C17" s="277">
        <f>C15*C16</f>
        <v>285</v>
      </c>
      <c r="D17" s="275"/>
      <c r="E17" s="275"/>
      <c r="F17" s="275"/>
    </row>
    <row r="18" spans="1:6" x14ac:dyDescent="0.25">
      <c r="A18" s="274" t="s">
        <v>390</v>
      </c>
      <c r="B18" s="275">
        <v>33</v>
      </c>
      <c r="C18" s="275">
        <v>19</v>
      </c>
      <c r="D18" s="275"/>
      <c r="E18" s="275"/>
      <c r="F18" s="275"/>
    </row>
    <row r="19" spans="1:6" x14ac:dyDescent="0.25">
      <c r="A19" s="273" t="s">
        <v>392</v>
      </c>
      <c r="B19" s="275">
        <v>17</v>
      </c>
      <c r="C19" s="275">
        <v>17</v>
      </c>
      <c r="D19" s="275"/>
      <c r="E19" s="275"/>
      <c r="F19" s="275"/>
    </row>
    <row r="20" spans="1:6" x14ac:dyDescent="0.25">
      <c r="A20" s="276" t="s">
        <v>56</v>
      </c>
      <c r="B20" s="277">
        <f>B18*B19</f>
        <v>561</v>
      </c>
      <c r="C20" s="277">
        <f>C18*C19</f>
        <v>323</v>
      </c>
      <c r="D20" s="275"/>
      <c r="E20" s="275"/>
      <c r="F20" s="275"/>
    </row>
    <row r="21" spans="1:6" x14ac:dyDescent="0.25">
      <c r="A21" s="274" t="s">
        <v>391</v>
      </c>
      <c r="B21" s="275">
        <f>52-C21</f>
        <v>33</v>
      </c>
      <c r="C21" s="275">
        <v>19</v>
      </c>
      <c r="D21" s="275"/>
      <c r="E21" s="275"/>
      <c r="F21" s="275"/>
    </row>
    <row r="22" spans="1:6" x14ac:dyDescent="0.25">
      <c r="A22" s="273" t="s">
        <v>392</v>
      </c>
      <c r="B22" s="275">
        <v>17</v>
      </c>
      <c r="C22" s="275">
        <v>17</v>
      </c>
      <c r="D22" s="275"/>
      <c r="E22" s="275"/>
      <c r="F22" s="275"/>
    </row>
    <row r="23" spans="1:6" x14ac:dyDescent="0.25">
      <c r="A23" s="276" t="s">
        <v>320</v>
      </c>
      <c r="B23" s="277">
        <f>B21*B22</f>
        <v>561</v>
      </c>
      <c r="C23" s="277">
        <f>C21*C22</f>
        <v>323</v>
      </c>
      <c r="D23" s="275"/>
      <c r="E23" s="275"/>
      <c r="F23" s="275"/>
    </row>
    <row r="24" spans="1:6" x14ac:dyDescent="0.25">
      <c r="A24" s="276" t="s">
        <v>56</v>
      </c>
      <c r="B24" s="277">
        <f>B5+B8+B11+B14+B17+B20+B23</f>
        <v>3531</v>
      </c>
      <c r="C24" s="277">
        <f>C5+C8+C11+C14+C17+C20+C23</f>
        <v>2086</v>
      </c>
      <c r="D24" s="277">
        <f>C24+B24</f>
        <v>5617</v>
      </c>
      <c r="E24" s="277"/>
      <c r="F24" s="277"/>
    </row>
    <row r="25" spans="1:6" x14ac:dyDescent="0.25">
      <c r="B25" s="275"/>
      <c r="C25" s="275"/>
    </row>
    <row r="26" spans="1:6" x14ac:dyDescent="0.25">
      <c r="A26" s="274"/>
      <c r="B26" s="275"/>
      <c r="C26" s="275"/>
    </row>
    <row r="27" spans="1:6" x14ac:dyDescent="0.25">
      <c r="A27" s="278"/>
    </row>
    <row r="29" spans="1:6" x14ac:dyDescent="0.25">
      <c r="B29" s="275"/>
    </row>
    <row r="31" spans="1:6" x14ac:dyDescent="0.25">
      <c r="B31" s="275"/>
    </row>
  </sheetData>
  <mergeCells count="1">
    <mergeCell ref="A1:C1"/>
  </mergeCells>
  <pageMargins left="0.7" right="0.7" top="0.75" bottom="0.75" header="0.3" footer="0.3"/>
  <pageSetup orientation="portrait" verticalDpi="4294967295" r:id="rId1"/>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D01C6-F0D9-484E-B931-596A05E65A29}">
  <dimension ref="A1"/>
  <sheetViews>
    <sheetView workbookViewId="0">
      <selection activeCell="AA21" sqref="AA21"/>
    </sheetView>
  </sheetViews>
  <sheetFormatPr defaultColWidth="9" defaultRowHeight="15" x14ac:dyDescent="0.25"/>
  <cols>
    <col min="1" max="16384" width="9" style="221"/>
  </cols>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A275B-0778-4311-A61A-3CF1CF4CFA31}">
  <dimension ref="A1"/>
  <sheetViews>
    <sheetView workbookViewId="0">
      <selection activeCell="AB44" sqref="AB44"/>
    </sheetView>
  </sheetViews>
  <sheetFormatPr defaultColWidth="9" defaultRowHeight="15" x14ac:dyDescent="0.25"/>
  <cols>
    <col min="1" max="16384" width="9" style="221"/>
  </cols>
  <sheetData/>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D848CE-9174-470D-B9CA-E2132455507E}">
  <dimension ref="A1:J126"/>
  <sheetViews>
    <sheetView zoomScaleNormal="100" workbookViewId="0">
      <selection activeCell="M23" sqref="M23"/>
    </sheetView>
  </sheetViews>
  <sheetFormatPr defaultColWidth="9" defaultRowHeight="15.75" x14ac:dyDescent="0.25"/>
  <cols>
    <col min="1" max="1" width="9" style="286"/>
    <col min="2" max="2" width="7" style="286" customWidth="1"/>
    <col min="3" max="3" width="10.75" style="286" customWidth="1"/>
    <col min="4" max="4" width="10.75" style="303" customWidth="1"/>
    <col min="5" max="5" width="10.25" style="286" bestFit="1" customWidth="1"/>
    <col min="6" max="6" width="8.625" style="286" customWidth="1"/>
    <col min="7" max="8" width="12.625" style="286" customWidth="1"/>
    <col min="9" max="16384" width="9" style="286"/>
  </cols>
  <sheetData>
    <row r="1" spans="1:10" ht="15" x14ac:dyDescent="0.25">
      <c r="A1" s="282"/>
      <c r="B1" s="283"/>
      <c r="C1" s="284"/>
      <c r="D1" s="285"/>
      <c r="G1" s="282"/>
      <c r="H1" s="282"/>
      <c r="I1" s="283"/>
    </row>
    <row r="2" spans="1:10" ht="12.75" x14ac:dyDescent="0.2">
      <c r="A2" s="282"/>
      <c r="B2" s="287" t="s">
        <v>399</v>
      </c>
      <c r="C2" s="284"/>
      <c r="D2" s="285"/>
      <c r="F2" s="287"/>
    </row>
    <row r="3" spans="1:10" ht="12.75" x14ac:dyDescent="0.2">
      <c r="A3" s="282"/>
      <c r="B3" s="288"/>
      <c r="C3" s="284"/>
      <c r="D3" s="285"/>
      <c r="G3" s="282"/>
      <c r="H3" s="282"/>
      <c r="I3" s="288"/>
    </row>
    <row r="4" spans="1:10" ht="12.75" x14ac:dyDescent="0.2">
      <c r="A4" s="289"/>
      <c r="B4" s="290"/>
      <c r="C4" s="554" t="s">
        <v>400</v>
      </c>
      <c r="D4" s="555"/>
      <c r="F4" s="290"/>
      <c r="G4" s="554" t="s">
        <v>401</v>
      </c>
      <c r="H4" s="555"/>
    </row>
    <row r="5" spans="1:10" ht="12.75" x14ac:dyDescent="0.2">
      <c r="A5" s="291"/>
      <c r="B5" s="292"/>
      <c r="C5" s="293" t="s">
        <v>402</v>
      </c>
      <c r="D5" s="294" t="s">
        <v>403</v>
      </c>
      <c r="E5" s="293"/>
      <c r="F5" s="292"/>
      <c r="G5" s="293" t="s">
        <v>402</v>
      </c>
      <c r="H5" s="295" t="s">
        <v>403</v>
      </c>
      <c r="I5" s="296"/>
      <c r="J5" s="297"/>
    </row>
    <row r="6" spans="1:10" ht="12.75" x14ac:dyDescent="0.2">
      <c r="A6" s="291"/>
      <c r="B6" s="298"/>
      <c r="C6" s="299" t="s">
        <v>404</v>
      </c>
      <c r="D6" s="300" t="s">
        <v>405</v>
      </c>
      <c r="E6" s="299"/>
      <c r="F6" s="298"/>
      <c r="G6" s="299" t="s">
        <v>404</v>
      </c>
      <c r="H6" s="301" t="s">
        <v>405</v>
      </c>
      <c r="I6" s="297"/>
      <c r="J6" s="297"/>
    </row>
    <row r="7" spans="1:10" x14ac:dyDescent="0.25">
      <c r="B7" s="286">
        <v>2000</v>
      </c>
      <c r="C7" s="302">
        <v>179.2</v>
      </c>
      <c r="F7" s="286">
        <v>2000</v>
      </c>
      <c r="G7" s="302">
        <v>174.6</v>
      </c>
    </row>
    <row r="8" spans="1:10" x14ac:dyDescent="0.25">
      <c r="B8" s="286">
        <v>2001</v>
      </c>
      <c r="C8" s="302">
        <v>185.7</v>
      </c>
      <c r="D8" s="303">
        <f>(C8/C7)-1</f>
        <v>3.6272321428571397E-2</v>
      </c>
      <c r="F8" s="286">
        <v>2001</v>
      </c>
      <c r="G8" s="302">
        <v>180.8</v>
      </c>
      <c r="H8" s="303">
        <f t="shared" ref="H8:H37" si="0">(G8/G7)-1</f>
        <v>3.5509736540664472E-2</v>
      </c>
    </row>
    <row r="9" spans="1:10" x14ac:dyDescent="0.25">
      <c r="B9" s="286">
        <v>2002</v>
      </c>
      <c r="C9" s="302">
        <v>189.3</v>
      </c>
      <c r="D9" s="303">
        <f t="shared" ref="D9:D38" si="1">(C9/C8)-1</f>
        <v>1.938610662358653E-2</v>
      </c>
      <c r="F9" s="286">
        <v>2002</v>
      </c>
      <c r="G9" s="302">
        <v>184</v>
      </c>
      <c r="H9" s="303">
        <f t="shared" si="0"/>
        <v>1.7699115044247815E-2</v>
      </c>
    </row>
    <row r="10" spans="1:10" x14ac:dyDescent="0.25">
      <c r="B10" s="286">
        <v>2003</v>
      </c>
      <c r="C10" s="302">
        <v>192.3</v>
      </c>
      <c r="D10" s="303">
        <f t="shared" si="1"/>
        <v>1.5847860538827252E-2</v>
      </c>
      <c r="F10" s="286">
        <v>2003</v>
      </c>
      <c r="G10" s="302">
        <v>186.7</v>
      </c>
      <c r="H10" s="303">
        <f t="shared" si="0"/>
        <v>1.4673913043478093E-2</v>
      </c>
    </row>
    <row r="11" spans="1:10" x14ac:dyDescent="0.25">
      <c r="B11" s="286">
        <v>2004</v>
      </c>
      <c r="C11" s="302">
        <v>194.7</v>
      </c>
      <c r="D11" s="303">
        <f t="shared" si="1"/>
        <v>1.2480499219968744E-2</v>
      </c>
      <c r="F11" s="286">
        <v>2004</v>
      </c>
      <c r="G11" s="302">
        <v>189.6</v>
      </c>
      <c r="H11" s="303">
        <f t="shared" si="0"/>
        <v>1.5532940546331142E-2</v>
      </c>
    </row>
    <row r="12" spans="1:10" x14ac:dyDescent="0.25">
      <c r="B12" s="286">
        <v>2005</v>
      </c>
      <c r="C12" s="302">
        <v>200.2</v>
      </c>
      <c r="D12" s="303">
        <f t="shared" si="1"/>
        <v>2.8248587570621542E-2</v>
      </c>
      <c r="F12" s="286">
        <v>2005</v>
      </c>
      <c r="G12" s="302">
        <v>195.3</v>
      </c>
      <c r="H12" s="303">
        <f t="shared" si="0"/>
        <v>3.0063291139240667E-2</v>
      </c>
    </row>
    <row r="13" spans="1:10" x14ac:dyDescent="0.25">
      <c r="B13" s="286">
        <v>2006</v>
      </c>
      <c r="C13" s="302">
        <v>207.6</v>
      </c>
      <c r="D13" s="303">
        <f t="shared" si="1"/>
        <v>3.6963036963036933E-2</v>
      </c>
      <c r="F13" s="286">
        <v>2006</v>
      </c>
      <c r="G13" s="302">
        <v>202.6</v>
      </c>
      <c r="H13" s="303">
        <f t="shared" si="0"/>
        <v>3.7378392217101819E-2</v>
      </c>
    </row>
    <row r="14" spans="1:10" x14ac:dyDescent="0.25">
      <c r="B14" s="286">
        <v>2007</v>
      </c>
      <c r="C14" s="302">
        <v>215.65600000000001</v>
      </c>
      <c r="D14" s="303">
        <f t="shared" si="1"/>
        <v>3.8805394990366171E-2</v>
      </c>
      <c r="F14" s="286">
        <v>2007</v>
      </c>
      <c r="G14" s="302">
        <v>210.26599999999999</v>
      </c>
      <c r="H14" s="303">
        <f t="shared" si="0"/>
        <v>3.7838104639684067E-2</v>
      </c>
    </row>
    <row r="15" spans="1:10" x14ac:dyDescent="0.25">
      <c r="B15" s="286">
        <v>2008</v>
      </c>
      <c r="C15" s="302">
        <v>224.71899999999999</v>
      </c>
      <c r="D15" s="303">
        <f t="shared" si="1"/>
        <v>4.2025262455020806E-2</v>
      </c>
      <c r="F15" s="286">
        <v>2008</v>
      </c>
      <c r="G15" s="302">
        <v>219.69200000000001</v>
      </c>
      <c r="H15" s="303">
        <f t="shared" si="0"/>
        <v>4.482893097314844E-2</v>
      </c>
    </row>
    <row r="16" spans="1:10" x14ac:dyDescent="0.25">
      <c r="B16" s="286">
        <v>2009</v>
      </c>
      <c r="C16" s="302">
        <v>226.02799999999999</v>
      </c>
      <c r="D16" s="303">
        <f t="shared" si="1"/>
        <v>5.8250526212737519E-3</v>
      </c>
      <c r="F16" s="286">
        <v>2009</v>
      </c>
      <c r="G16" s="302">
        <v>220.65799999999999</v>
      </c>
      <c r="H16" s="303">
        <f t="shared" si="0"/>
        <v>4.397064981883636E-3</v>
      </c>
    </row>
    <row r="17" spans="2:8" x14ac:dyDescent="0.25">
      <c r="B17" s="286">
        <v>2010</v>
      </c>
      <c r="C17" s="302">
        <v>226.6925</v>
      </c>
      <c r="D17" s="303">
        <f t="shared" si="1"/>
        <v>2.9399012511723832E-3</v>
      </c>
      <c r="F17" s="286">
        <v>2010</v>
      </c>
      <c r="G17" s="302">
        <v>222.3835</v>
      </c>
      <c r="H17" s="303">
        <f t="shared" si="0"/>
        <v>7.819793526633978E-3</v>
      </c>
    </row>
    <row r="18" spans="2:8" x14ac:dyDescent="0.25">
      <c r="B18" s="286">
        <v>2011</v>
      </c>
      <c r="C18" s="302">
        <v>232.76499999999999</v>
      </c>
      <c r="D18" s="303">
        <f t="shared" si="1"/>
        <v>2.6787388202079931E-2</v>
      </c>
      <c r="F18" s="286">
        <v>2011</v>
      </c>
      <c r="G18" s="302">
        <v>229.435</v>
      </c>
      <c r="H18" s="303">
        <f t="shared" si="0"/>
        <v>3.170873738384361E-2</v>
      </c>
    </row>
    <row r="19" spans="2:8" x14ac:dyDescent="0.25">
      <c r="B19" s="286">
        <v>2012</v>
      </c>
      <c r="C19" s="302">
        <v>238.66249999999999</v>
      </c>
      <c r="D19" s="303">
        <f t="shared" si="1"/>
        <v>2.5336712993792032E-2</v>
      </c>
      <c r="F19" s="286">
        <v>2012</v>
      </c>
      <c r="G19" s="302">
        <v>235.26150000000001</v>
      </c>
      <c r="H19" s="303">
        <f t="shared" si="0"/>
        <v>2.5394992045677522E-2</v>
      </c>
    </row>
    <row r="20" spans="2:8" x14ac:dyDescent="0.25">
      <c r="B20" s="286">
        <v>2013</v>
      </c>
      <c r="C20" s="302">
        <v>241.5635</v>
      </c>
      <c r="D20" s="303">
        <f t="shared" si="1"/>
        <v>1.2155240140365731E-2</v>
      </c>
      <c r="F20" s="286">
        <v>2013</v>
      </c>
      <c r="G20" s="302">
        <v>238.12899999999999</v>
      </c>
      <c r="H20" s="303">
        <f t="shared" si="0"/>
        <v>1.2188564639773025E-2</v>
      </c>
    </row>
    <row r="21" spans="2:8" x14ac:dyDescent="0.25">
      <c r="B21" s="286">
        <v>2014</v>
      </c>
      <c r="C21" s="302">
        <v>246.01849999999999</v>
      </c>
      <c r="D21" s="303">
        <f t="shared" si="1"/>
        <v>1.8442355736690397E-2</v>
      </c>
      <c r="F21" s="286">
        <v>2014</v>
      </c>
      <c r="G21" s="302">
        <v>242.732</v>
      </c>
      <c r="H21" s="303">
        <f t="shared" si="0"/>
        <v>1.9329859025990048E-2</v>
      </c>
    </row>
    <row r="22" spans="2:8" x14ac:dyDescent="0.25">
      <c r="B22" s="286">
        <v>2015</v>
      </c>
      <c r="C22" s="302">
        <v>249.36449999999999</v>
      </c>
      <c r="D22" s="303">
        <f t="shared" si="1"/>
        <v>1.3600603206669337E-2</v>
      </c>
      <c r="F22" s="286">
        <v>2015</v>
      </c>
      <c r="G22" s="302">
        <v>244.9325</v>
      </c>
      <c r="H22" s="303">
        <f t="shared" si="0"/>
        <v>9.0655537794770424E-3</v>
      </c>
    </row>
    <row r="23" spans="2:8" x14ac:dyDescent="0.25">
      <c r="B23" s="286">
        <v>2016</v>
      </c>
      <c r="C23" s="302">
        <v>254.88650000000001</v>
      </c>
      <c r="D23" s="303">
        <f t="shared" si="1"/>
        <v>2.2144290787181165E-2</v>
      </c>
      <c r="F23" s="286">
        <v>2016</v>
      </c>
      <c r="G23" s="302">
        <v>250.523</v>
      </c>
      <c r="H23" s="303">
        <f t="shared" si="0"/>
        <v>2.2824655772508695E-2</v>
      </c>
    </row>
    <row r="24" spans="2:8" x14ac:dyDescent="0.25">
      <c r="B24" s="286">
        <v>2017</v>
      </c>
      <c r="C24" s="302">
        <v>262.66800000000001</v>
      </c>
      <c r="D24" s="303">
        <f t="shared" si="1"/>
        <v>3.0529274794859562E-2</v>
      </c>
      <c r="F24" s="286">
        <v>2017</v>
      </c>
      <c r="G24" s="302">
        <v>258.84749999999997</v>
      </c>
      <c r="H24" s="303">
        <f t="shared" si="0"/>
        <v>3.3228486007272684E-2</v>
      </c>
    </row>
    <row r="25" spans="2:8" x14ac:dyDescent="0.25">
      <c r="B25" s="286">
        <v>2018</v>
      </c>
      <c r="C25" s="302">
        <v>271.08949999999999</v>
      </c>
      <c r="D25" s="303">
        <f t="shared" si="1"/>
        <v>3.2061385475200543E-2</v>
      </c>
      <c r="F25" s="286">
        <v>2018</v>
      </c>
      <c r="G25" s="302">
        <v>267.5505</v>
      </c>
      <c r="H25" s="303">
        <f t="shared" si="0"/>
        <v>3.3622113406542642E-2</v>
      </c>
    </row>
    <row r="26" spans="2:8" x14ac:dyDescent="0.25">
      <c r="B26" s="286">
        <v>2019</v>
      </c>
      <c r="C26" s="302">
        <v>277.98400000000004</v>
      </c>
      <c r="D26" s="303">
        <f t="shared" si="1"/>
        <v>2.5432560095466794E-2</v>
      </c>
      <c r="F26" s="286">
        <v>2019</v>
      </c>
      <c r="G26" s="302">
        <v>273.27250000000004</v>
      </c>
      <c r="H26" s="303">
        <f t="shared" si="0"/>
        <v>2.1386616732168351E-2</v>
      </c>
    </row>
    <row r="27" spans="2:8" x14ac:dyDescent="0.25">
      <c r="B27" s="286">
        <v>2020</v>
      </c>
      <c r="C27" s="302">
        <v>282.69299999999998</v>
      </c>
      <c r="D27" s="303">
        <f t="shared" si="1"/>
        <v>1.6939823874755122E-2</v>
      </c>
      <c r="F27" s="286">
        <v>2020</v>
      </c>
      <c r="G27" s="302">
        <v>278.47649999999999</v>
      </c>
      <c r="H27" s="303">
        <f t="shared" si="0"/>
        <v>1.9043262677364003E-2</v>
      </c>
    </row>
    <row r="28" spans="2:8" x14ac:dyDescent="0.25">
      <c r="B28" s="286">
        <v>2021</v>
      </c>
      <c r="C28" s="302">
        <v>295.56049999999999</v>
      </c>
      <c r="D28" s="303">
        <f t="shared" si="1"/>
        <v>4.5517575603216232E-2</v>
      </c>
      <c r="F28" s="286">
        <v>2021</v>
      </c>
      <c r="G28" s="302">
        <v>291.70400000000001</v>
      </c>
      <c r="H28" s="303">
        <f t="shared" si="0"/>
        <v>4.749951970812627E-2</v>
      </c>
    </row>
    <row r="29" spans="2:8" x14ac:dyDescent="0.25">
      <c r="B29" s="286">
        <v>2022</v>
      </c>
      <c r="C29" s="302">
        <v>322.16700000000003</v>
      </c>
      <c r="D29" s="303">
        <f t="shared" si="1"/>
        <v>9.0020486499380103E-2</v>
      </c>
      <c r="F29" s="286">
        <v>2022</v>
      </c>
      <c r="G29" s="302">
        <v>317.40249999999997</v>
      </c>
      <c r="H29" s="303">
        <f t="shared" si="0"/>
        <v>8.8097866330252517E-2</v>
      </c>
    </row>
    <row r="30" spans="2:8" x14ac:dyDescent="0.25">
      <c r="B30" s="286">
        <v>2023</v>
      </c>
      <c r="C30" s="302">
        <v>340.84500000000003</v>
      </c>
      <c r="D30" s="304">
        <f t="shared" si="1"/>
        <v>5.7976142807922626E-2</v>
      </c>
      <c r="F30" s="286">
        <v>2023</v>
      </c>
      <c r="G30" s="302">
        <v>334.911</v>
      </c>
      <c r="H30" s="304">
        <f t="shared" si="0"/>
        <v>5.516182134671288E-2</v>
      </c>
    </row>
    <row r="31" spans="2:8" x14ac:dyDescent="0.25">
      <c r="B31" s="286">
        <v>2024</v>
      </c>
      <c r="C31" s="302">
        <v>353.488</v>
      </c>
      <c r="D31" s="305">
        <f t="shared" si="1"/>
        <v>3.7093106837418732E-2</v>
      </c>
      <c r="F31" s="286">
        <v>2024</v>
      </c>
      <c r="G31" s="302">
        <v>347.01799999999997</v>
      </c>
      <c r="H31" s="305">
        <f t="shared" si="0"/>
        <v>3.6149902511413368E-2</v>
      </c>
    </row>
    <row r="32" spans="2:8" x14ac:dyDescent="0.25">
      <c r="B32" s="286">
        <v>2025</v>
      </c>
      <c r="C32" s="306">
        <v>362.49650169567417</v>
      </c>
      <c r="D32" s="307">
        <f t="shared" si="1"/>
        <v>2.5484603991293042E-2</v>
      </c>
      <c r="F32" s="286">
        <v>2025</v>
      </c>
      <c r="G32" s="306">
        <v>356.24352567847592</v>
      </c>
      <c r="H32" s="307">
        <f t="shared" si="0"/>
        <v>2.658515027599706E-2</v>
      </c>
    </row>
    <row r="33" spans="2:8" x14ac:dyDescent="0.25">
      <c r="B33" s="286">
        <v>2026</v>
      </c>
      <c r="C33" s="306">
        <v>376.80320930591932</v>
      </c>
      <c r="D33" s="307">
        <f t="shared" si="1"/>
        <v>3.9467160492092201E-2</v>
      </c>
      <c r="F33" s="286">
        <v>2026</v>
      </c>
      <c r="G33" s="306">
        <v>370.19680825822331</v>
      </c>
      <c r="H33" s="307">
        <f t="shared" si="0"/>
        <v>3.9167820813509335E-2</v>
      </c>
    </row>
    <row r="34" spans="2:8" x14ac:dyDescent="0.25">
      <c r="B34" s="286">
        <v>2027</v>
      </c>
      <c r="C34" s="306">
        <v>389.08961763907786</v>
      </c>
      <c r="D34" s="307">
        <f t="shared" si="1"/>
        <v>3.2606963077067119E-2</v>
      </c>
      <c r="F34" s="286">
        <v>2027</v>
      </c>
      <c r="G34" s="306">
        <v>382.14441646772661</v>
      </c>
      <c r="H34" s="307">
        <f t="shared" si="0"/>
        <v>3.2273666176963589E-2</v>
      </c>
    </row>
    <row r="35" spans="2:8" x14ac:dyDescent="0.25">
      <c r="B35" s="286">
        <v>2028</v>
      </c>
      <c r="C35" s="306">
        <v>398.67015098983097</v>
      </c>
      <c r="D35" s="307">
        <f t="shared" si="1"/>
        <v>2.4622947815688301E-2</v>
      </c>
      <c r="F35" s="286">
        <v>2028</v>
      </c>
      <c r="G35" s="306">
        <v>391.5951334964202</v>
      </c>
      <c r="H35" s="307">
        <f t="shared" si="0"/>
        <v>2.473074738615666E-2</v>
      </c>
    </row>
    <row r="36" spans="2:8" x14ac:dyDescent="0.25">
      <c r="B36" s="286">
        <v>2029</v>
      </c>
      <c r="C36" s="306">
        <v>407.2636439917211</v>
      </c>
      <c r="D36" s="307">
        <f t="shared" si="1"/>
        <v>2.1555396060010779E-2</v>
      </c>
      <c r="F36" s="286">
        <v>2029</v>
      </c>
      <c r="G36" s="306">
        <v>399.97890115070254</v>
      </c>
      <c r="H36" s="307">
        <f t="shared" si="0"/>
        <v>2.140927436821416E-2</v>
      </c>
    </row>
    <row r="37" spans="2:8" x14ac:dyDescent="0.25">
      <c r="B37" s="286">
        <v>2030</v>
      </c>
      <c r="C37" s="306">
        <v>415.77954524271922</v>
      </c>
      <c r="D37" s="307">
        <f t="shared" si="1"/>
        <v>2.0910045314948889E-2</v>
      </c>
      <c r="F37" s="286">
        <v>2030</v>
      </c>
      <c r="G37" s="306">
        <v>408.35699345020998</v>
      </c>
      <c r="H37" s="307">
        <f t="shared" si="0"/>
        <v>2.0946335607714417E-2</v>
      </c>
    </row>
    <row r="38" spans="2:8" x14ac:dyDescent="0.25">
      <c r="B38" s="286">
        <v>2031</v>
      </c>
      <c r="C38" s="306">
        <v>424.54753988621661</v>
      </c>
      <c r="D38" s="307">
        <f t="shared" si="1"/>
        <v>2.1088085606469464E-2</v>
      </c>
      <c r="F38" s="286">
        <v>2031</v>
      </c>
      <c r="G38" s="306">
        <v>417.03126817304815</v>
      </c>
      <c r="H38" s="307"/>
    </row>
    <row r="39" spans="2:8" x14ac:dyDescent="0.25">
      <c r="H39" s="303"/>
    </row>
    <row r="40" spans="2:8" x14ac:dyDescent="0.25">
      <c r="H40" s="303"/>
    </row>
    <row r="41" spans="2:8" x14ac:dyDescent="0.25">
      <c r="H41" s="303"/>
    </row>
    <row r="42" spans="2:8" x14ac:dyDescent="0.25">
      <c r="H42" s="303"/>
    </row>
    <row r="43" spans="2:8" x14ac:dyDescent="0.25">
      <c r="H43" s="303"/>
    </row>
    <row r="44" spans="2:8" x14ac:dyDescent="0.25">
      <c r="H44" s="303"/>
    </row>
    <row r="45" spans="2:8" x14ac:dyDescent="0.25">
      <c r="H45" s="303"/>
    </row>
    <row r="46" spans="2:8" x14ac:dyDescent="0.25">
      <c r="H46" s="303"/>
    </row>
    <row r="47" spans="2:8" x14ac:dyDescent="0.25">
      <c r="H47" s="303"/>
    </row>
    <row r="48" spans="2:8" x14ac:dyDescent="0.25">
      <c r="H48" s="303"/>
    </row>
    <row r="49" spans="8:8" x14ac:dyDescent="0.25">
      <c r="H49" s="303"/>
    </row>
    <row r="50" spans="8:8" x14ac:dyDescent="0.25">
      <c r="H50" s="303"/>
    </row>
    <row r="51" spans="8:8" x14ac:dyDescent="0.25">
      <c r="H51" s="303"/>
    </row>
    <row r="52" spans="8:8" x14ac:dyDescent="0.25">
      <c r="H52" s="303"/>
    </row>
    <row r="53" spans="8:8" x14ac:dyDescent="0.25">
      <c r="H53" s="303"/>
    </row>
    <row r="54" spans="8:8" x14ac:dyDescent="0.25">
      <c r="H54" s="303"/>
    </row>
    <row r="55" spans="8:8" x14ac:dyDescent="0.25">
      <c r="H55" s="303"/>
    </row>
    <row r="56" spans="8:8" x14ac:dyDescent="0.25">
      <c r="H56" s="303"/>
    </row>
    <row r="57" spans="8:8" x14ac:dyDescent="0.25">
      <c r="H57" s="303"/>
    </row>
    <row r="58" spans="8:8" x14ac:dyDescent="0.25">
      <c r="H58" s="303"/>
    </row>
    <row r="59" spans="8:8" x14ac:dyDescent="0.25">
      <c r="H59" s="303"/>
    </row>
    <row r="60" spans="8:8" x14ac:dyDescent="0.25">
      <c r="H60" s="303"/>
    </row>
    <row r="61" spans="8:8" x14ac:dyDescent="0.25">
      <c r="H61" s="303"/>
    </row>
    <row r="62" spans="8:8" x14ac:dyDescent="0.25">
      <c r="H62" s="303"/>
    </row>
    <row r="63" spans="8:8" x14ac:dyDescent="0.25">
      <c r="H63" s="303"/>
    </row>
    <row r="64" spans="8:8" x14ac:dyDescent="0.25">
      <c r="H64" s="303"/>
    </row>
    <row r="65" spans="8:8" x14ac:dyDescent="0.25">
      <c r="H65" s="303"/>
    </row>
    <row r="66" spans="8:8" x14ac:dyDescent="0.25">
      <c r="H66" s="303"/>
    </row>
    <row r="67" spans="8:8" x14ac:dyDescent="0.25">
      <c r="H67" s="303"/>
    </row>
    <row r="68" spans="8:8" x14ac:dyDescent="0.25">
      <c r="H68" s="303"/>
    </row>
    <row r="69" spans="8:8" x14ac:dyDescent="0.25">
      <c r="H69" s="303"/>
    </row>
    <row r="70" spans="8:8" x14ac:dyDescent="0.25">
      <c r="H70" s="303"/>
    </row>
    <row r="71" spans="8:8" x14ac:dyDescent="0.25">
      <c r="H71" s="303"/>
    </row>
    <row r="72" spans="8:8" x14ac:dyDescent="0.25">
      <c r="H72" s="303"/>
    </row>
    <row r="73" spans="8:8" x14ac:dyDescent="0.25">
      <c r="H73" s="303"/>
    </row>
    <row r="74" spans="8:8" x14ac:dyDescent="0.25">
      <c r="H74" s="303"/>
    </row>
    <row r="75" spans="8:8" x14ac:dyDescent="0.25">
      <c r="H75" s="303"/>
    </row>
    <row r="76" spans="8:8" x14ac:dyDescent="0.25">
      <c r="H76" s="303"/>
    </row>
    <row r="77" spans="8:8" x14ac:dyDescent="0.25">
      <c r="H77" s="303"/>
    </row>
    <row r="78" spans="8:8" x14ac:dyDescent="0.25">
      <c r="H78" s="303"/>
    </row>
    <row r="79" spans="8:8" x14ac:dyDescent="0.25">
      <c r="H79" s="303"/>
    </row>
    <row r="80" spans="8:8" x14ac:dyDescent="0.25">
      <c r="H80" s="303"/>
    </row>
    <row r="81" spans="8:8" x14ac:dyDescent="0.25">
      <c r="H81" s="303"/>
    </row>
    <row r="82" spans="8:8" x14ac:dyDescent="0.25">
      <c r="H82" s="303"/>
    </row>
    <row r="83" spans="8:8" x14ac:dyDescent="0.25">
      <c r="H83" s="303"/>
    </row>
    <row r="84" spans="8:8" x14ac:dyDescent="0.25">
      <c r="H84" s="303"/>
    </row>
    <row r="85" spans="8:8" x14ac:dyDescent="0.25">
      <c r="H85" s="303"/>
    </row>
    <row r="86" spans="8:8" x14ac:dyDescent="0.25">
      <c r="H86" s="303"/>
    </row>
    <row r="87" spans="8:8" x14ac:dyDescent="0.25">
      <c r="H87" s="303"/>
    </row>
    <row r="88" spans="8:8" x14ac:dyDescent="0.25">
      <c r="H88" s="303"/>
    </row>
    <row r="89" spans="8:8" x14ac:dyDescent="0.25">
      <c r="H89" s="303"/>
    </row>
    <row r="90" spans="8:8" x14ac:dyDescent="0.25">
      <c r="H90" s="303"/>
    </row>
    <row r="91" spans="8:8" x14ac:dyDescent="0.25">
      <c r="H91" s="303"/>
    </row>
    <row r="92" spans="8:8" x14ac:dyDescent="0.25">
      <c r="H92" s="303"/>
    </row>
    <row r="93" spans="8:8" x14ac:dyDescent="0.25">
      <c r="H93" s="303"/>
    </row>
    <row r="94" spans="8:8" x14ac:dyDescent="0.25">
      <c r="H94" s="303"/>
    </row>
    <row r="95" spans="8:8" x14ac:dyDescent="0.25">
      <c r="H95" s="303"/>
    </row>
    <row r="96" spans="8:8" x14ac:dyDescent="0.25">
      <c r="H96" s="303"/>
    </row>
    <row r="97" spans="8:8" x14ac:dyDescent="0.25">
      <c r="H97" s="303"/>
    </row>
    <row r="98" spans="8:8" x14ac:dyDescent="0.25">
      <c r="H98" s="303"/>
    </row>
    <row r="99" spans="8:8" x14ac:dyDescent="0.25">
      <c r="H99" s="303"/>
    </row>
    <row r="100" spans="8:8" x14ac:dyDescent="0.25">
      <c r="H100" s="303"/>
    </row>
    <row r="101" spans="8:8" x14ac:dyDescent="0.25">
      <c r="H101" s="303"/>
    </row>
    <row r="102" spans="8:8" x14ac:dyDescent="0.25">
      <c r="H102" s="303"/>
    </row>
    <row r="103" spans="8:8" x14ac:dyDescent="0.25">
      <c r="H103" s="303"/>
    </row>
    <row r="104" spans="8:8" x14ac:dyDescent="0.25">
      <c r="H104" s="303"/>
    </row>
    <row r="105" spans="8:8" x14ac:dyDescent="0.25">
      <c r="H105" s="303"/>
    </row>
    <row r="106" spans="8:8" x14ac:dyDescent="0.25">
      <c r="H106" s="303"/>
    </row>
    <row r="107" spans="8:8" x14ac:dyDescent="0.25">
      <c r="H107" s="303"/>
    </row>
    <row r="108" spans="8:8" x14ac:dyDescent="0.25">
      <c r="H108" s="303"/>
    </row>
    <row r="109" spans="8:8" x14ac:dyDescent="0.25">
      <c r="H109" s="303"/>
    </row>
    <row r="110" spans="8:8" x14ac:dyDescent="0.25">
      <c r="H110" s="303"/>
    </row>
    <row r="111" spans="8:8" x14ac:dyDescent="0.25">
      <c r="H111" s="303"/>
    </row>
    <row r="112" spans="8:8" x14ac:dyDescent="0.25">
      <c r="H112" s="303"/>
    </row>
    <row r="113" spans="8:8" x14ac:dyDescent="0.25">
      <c r="H113" s="303"/>
    </row>
    <row r="114" spans="8:8" x14ac:dyDescent="0.25">
      <c r="H114" s="303"/>
    </row>
    <row r="115" spans="8:8" x14ac:dyDescent="0.25">
      <c r="H115" s="303"/>
    </row>
    <row r="116" spans="8:8" x14ac:dyDescent="0.25">
      <c r="H116" s="303"/>
    </row>
    <row r="117" spans="8:8" x14ac:dyDescent="0.25">
      <c r="H117" s="303"/>
    </row>
    <row r="118" spans="8:8" x14ac:dyDescent="0.25">
      <c r="H118" s="303"/>
    </row>
    <row r="119" spans="8:8" x14ac:dyDescent="0.25">
      <c r="H119" s="303"/>
    </row>
    <row r="120" spans="8:8" x14ac:dyDescent="0.25">
      <c r="H120" s="303"/>
    </row>
    <row r="121" spans="8:8" x14ac:dyDescent="0.25">
      <c r="H121" s="303"/>
    </row>
    <row r="122" spans="8:8" x14ac:dyDescent="0.25">
      <c r="H122" s="303"/>
    </row>
    <row r="123" spans="8:8" x14ac:dyDescent="0.25">
      <c r="H123" s="303"/>
    </row>
    <row r="124" spans="8:8" x14ac:dyDescent="0.25">
      <c r="H124" s="303"/>
    </row>
    <row r="125" spans="8:8" x14ac:dyDescent="0.25">
      <c r="H125" s="303"/>
    </row>
    <row r="126" spans="8:8" x14ac:dyDescent="0.25">
      <c r="H126" s="303"/>
    </row>
  </sheetData>
  <mergeCells count="2">
    <mergeCell ref="C4:D4"/>
    <mergeCell ref="G4:H4"/>
  </mergeCell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9A66D-FF51-4849-A1A7-876346C31191}">
  <dimension ref="A1:B4"/>
  <sheetViews>
    <sheetView workbookViewId="0">
      <selection activeCell="B4" sqref="B4"/>
    </sheetView>
  </sheetViews>
  <sheetFormatPr defaultRowHeight="12.75" x14ac:dyDescent="0.2"/>
  <cols>
    <col min="1" max="1" width="30" style="282" customWidth="1"/>
    <col min="2" max="2" width="16.875" style="282" customWidth="1"/>
    <col min="3" max="256" width="9" style="282"/>
    <col min="257" max="257" width="30" style="282" customWidth="1"/>
    <col min="258" max="258" width="16.875" style="282" customWidth="1"/>
    <col min="259" max="512" width="9" style="282"/>
    <col min="513" max="513" width="30" style="282" customWidth="1"/>
    <col min="514" max="514" width="16.875" style="282" customWidth="1"/>
    <col min="515" max="768" width="9" style="282"/>
    <col min="769" max="769" width="30" style="282" customWidth="1"/>
    <col min="770" max="770" width="16.875" style="282" customWidth="1"/>
    <col min="771" max="1024" width="9" style="282"/>
    <col min="1025" max="1025" width="30" style="282" customWidth="1"/>
    <col min="1026" max="1026" width="16.875" style="282" customWidth="1"/>
    <col min="1027" max="1280" width="9" style="282"/>
    <col min="1281" max="1281" width="30" style="282" customWidth="1"/>
    <col min="1282" max="1282" width="16.875" style="282" customWidth="1"/>
    <col min="1283" max="1536" width="9" style="282"/>
    <col min="1537" max="1537" width="30" style="282" customWidth="1"/>
    <col min="1538" max="1538" width="16.875" style="282" customWidth="1"/>
    <col min="1539" max="1792" width="9" style="282"/>
    <col min="1793" max="1793" width="30" style="282" customWidth="1"/>
    <col min="1794" max="1794" width="16.875" style="282" customWidth="1"/>
    <col min="1795" max="2048" width="9" style="282"/>
    <col min="2049" max="2049" width="30" style="282" customWidth="1"/>
    <col min="2050" max="2050" width="16.875" style="282" customWidth="1"/>
    <col min="2051" max="2304" width="9" style="282"/>
    <col min="2305" max="2305" width="30" style="282" customWidth="1"/>
    <col min="2306" max="2306" width="16.875" style="282" customWidth="1"/>
    <col min="2307" max="2560" width="9" style="282"/>
    <col min="2561" max="2561" width="30" style="282" customWidth="1"/>
    <col min="2562" max="2562" width="16.875" style="282" customWidth="1"/>
    <col min="2563" max="2816" width="9" style="282"/>
    <col min="2817" max="2817" width="30" style="282" customWidth="1"/>
    <col min="2818" max="2818" width="16.875" style="282" customWidth="1"/>
    <col min="2819" max="3072" width="9" style="282"/>
    <col min="3073" max="3073" width="30" style="282" customWidth="1"/>
    <col min="3074" max="3074" width="16.875" style="282" customWidth="1"/>
    <col min="3075" max="3328" width="9" style="282"/>
    <col min="3329" max="3329" width="30" style="282" customWidth="1"/>
    <col min="3330" max="3330" width="16.875" style="282" customWidth="1"/>
    <col min="3331" max="3584" width="9" style="282"/>
    <col min="3585" max="3585" width="30" style="282" customWidth="1"/>
    <col min="3586" max="3586" width="16.875" style="282" customWidth="1"/>
    <col min="3587" max="3840" width="9" style="282"/>
    <col min="3841" max="3841" width="30" style="282" customWidth="1"/>
    <col min="3842" max="3842" width="16.875" style="282" customWidth="1"/>
    <col min="3843" max="4096" width="9" style="282"/>
    <col min="4097" max="4097" width="30" style="282" customWidth="1"/>
    <col min="4098" max="4098" width="16.875" style="282" customWidth="1"/>
    <col min="4099" max="4352" width="9" style="282"/>
    <col min="4353" max="4353" width="30" style="282" customWidth="1"/>
    <col min="4354" max="4354" width="16.875" style="282" customWidth="1"/>
    <col min="4355" max="4608" width="9" style="282"/>
    <col min="4609" max="4609" width="30" style="282" customWidth="1"/>
    <col min="4610" max="4610" width="16.875" style="282" customWidth="1"/>
    <col min="4611" max="4864" width="9" style="282"/>
    <col min="4865" max="4865" width="30" style="282" customWidth="1"/>
    <col min="4866" max="4866" width="16.875" style="282" customWidth="1"/>
    <col min="4867" max="5120" width="9" style="282"/>
    <col min="5121" max="5121" width="30" style="282" customWidth="1"/>
    <col min="5122" max="5122" width="16.875" style="282" customWidth="1"/>
    <col min="5123" max="5376" width="9" style="282"/>
    <col min="5377" max="5377" width="30" style="282" customWidth="1"/>
    <col min="5378" max="5378" width="16.875" style="282" customWidth="1"/>
    <col min="5379" max="5632" width="9" style="282"/>
    <col min="5633" max="5633" width="30" style="282" customWidth="1"/>
    <col min="5634" max="5634" width="16.875" style="282" customWidth="1"/>
    <col min="5635" max="5888" width="9" style="282"/>
    <col min="5889" max="5889" width="30" style="282" customWidth="1"/>
    <col min="5890" max="5890" width="16.875" style="282" customWidth="1"/>
    <col min="5891" max="6144" width="9" style="282"/>
    <col min="6145" max="6145" width="30" style="282" customWidth="1"/>
    <col min="6146" max="6146" width="16.875" style="282" customWidth="1"/>
    <col min="6147" max="6400" width="9" style="282"/>
    <col min="6401" max="6401" width="30" style="282" customWidth="1"/>
    <col min="6402" max="6402" width="16.875" style="282" customWidth="1"/>
    <col min="6403" max="6656" width="9" style="282"/>
    <col min="6657" max="6657" width="30" style="282" customWidth="1"/>
    <col min="6658" max="6658" width="16.875" style="282" customWidth="1"/>
    <col min="6659" max="6912" width="9" style="282"/>
    <col min="6913" max="6913" width="30" style="282" customWidth="1"/>
    <col min="6914" max="6914" width="16.875" style="282" customWidth="1"/>
    <col min="6915" max="7168" width="9" style="282"/>
    <col min="7169" max="7169" width="30" style="282" customWidth="1"/>
    <col min="7170" max="7170" width="16.875" style="282" customWidth="1"/>
    <col min="7171" max="7424" width="9" style="282"/>
    <col min="7425" max="7425" width="30" style="282" customWidth="1"/>
    <col min="7426" max="7426" width="16.875" style="282" customWidth="1"/>
    <col min="7427" max="7680" width="9" style="282"/>
    <col min="7681" max="7681" width="30" style="282" customWidth="1"/>
    <col min="7682" max="7682" width="16.875" style="282" customWidth="1"/>
    <col min="7683" max="7936" width="9" style="282"/>
    <col min="7937" max="7937" width="30" style="282" customWidth="1"/>
    <col min="7938" max="7938" width="16.875" style="282" customWidth="1"/>
    <col min="7939" max="8192" width="9" style="282"/>
    <col min="8193" max="8193" width="30" style="282" customWidth="1"/>
    <col min="8194" max="8194" width="16.875" style="282" customWidth="1"/>
    <col min="8195" max="8448" width="9" style="282"/>
    <col min="8449" max="8449" width="30" style="282" customWidth="1"/>
    <col min="8450" max="8450" width="16.875" style="282" customWidth="1"/>
    <col min="8451" max="8704" width="9" style="282"/>
    <col min="8705" max="8705" width="30" style="282" customWidth="1"/>
    <col min="8706" max="8706" width="16.875" style="282" customWidth="1"/>
    <col min="8707" max="8960" width="9" style="282"/>
    <col min="8961" max="8961" width="30" style="282" customWidth="1"/>
    <col min="8962" max="8962" width="16.875" style="282" customWidth="1"/>
    <col min="8963" max="9216" width="9" style="282"/>
    <col min="9217" max="9217" width="30" style="282" customWidth="1"/>
    <col min="9218" max="9218" width="16.875" style="282" customWidth="1"/>
    <col min="9219" max="9472" width="9" style="282"/>
    <col min="9473" max="9473" width="30" style="282" customWidth="1"/>
    <col min="9474" max="9474" width="16.875" style="282" customWidth="1"/>
    <col min="9475" max="9728" width="9" style="282"/>
    <col min="9729" max="9729" width="30" style="282" customWidth="1"/>
    <col min="9730" max="9730" width="16.875" style="282" customWidth="1"/>
    <col min="9731" max="9984" width="9" style="282"/>
    <col min="9985" max="9985" width="30" style="282" customWidth="1"/>
    <col min="9986" max="9986" width="16.875" style="282" customWidth="1"/>
    <col min="9987" max="10240" width="9" style="282"/>
    <col min="10241" max="10241" width="30" style="282" customWidth="1"/>
    <col min="10242" max="10242" width="16.875" style="282" customWidth="1"/>
    <col min="10243" max="10496" width="9" style="282"/>
    <col min="10497" max="10497" width="30" style="282" customWidth="1"/>
    <col min="10498" max="10498" width="16.875" style="282" customWidth="1"/>
    <col min="10499" max="10752" width="9" style="282"/>
    <col min="10753" max="10753" width="30" style="282" customWidth="1"/>
    <col min="10754" max="10754" width="16.875" style="282" customWidth="1"/>
    <col min="10755" max="11008" width="9" style="282"/>
    <col min="11009" max="11009" width="30" style="282" customWidth="1"/>
    <col min="11010" max="11010" width="16.875" style="282" customWidth="1"/>
    <col min="11011" max="11264" width="9" style="282"/>
    <col min="11265" max="11265" width="30" style="282" customWidth="1"/>
    <col min="11266" max="11266" width="16.875" style="282" customWidth="1"/>
    <col min="11267" max="11520" width="9" style="282"/>
    <col min="11521" max="11521" width="30" style="282" customWidth="1"/>
    <col min="11522" max="11522" width="16.875" style="282" customWidth="1"/>
    <col min="11523" max="11776" width="9" style="282"/>
    <col min="11777" max="11777" width="30" style="282" customWidth="1"/>
    <col min="11778" max="11778" width="16.875" style="282" customWidth="1"/>
    <col min="11779" max="12032" width="9" style="282"/>
    <col min="12033" max="12033" width="30" style="282" customWidth="1"/>
    <col min="12034" max="12034" width="16.875" style="282" customWidth="1"/>
    <col min="12035" max="12288" width="9" style="282"/>
    <col min="12289" max="12289" width="30" style="282" customWidth="1"/>
    <col min="12290" max="12290" width="16.875" style="282" customWidth="1"/>
    <col min="12291" max="12544" width="9" style="282"/>
    <col min="12545" max="12545" width="30" style="282" customWidth="1"/>
    <col min="12546" max="12546" width="16.875" style="282" customWidth="1"/>
    <col min="12547" max="12800" width="9" style="282"/>
    <col min="12801" max="12801" width="30" style="282" customWidth="1"/>
    <col min="12802" max="12802" width="16.875" style="282" customWidth="1"/>
    <col min="12803" max="13056" width="9" style="282"/>
    <col min="13057" max="13057" width="30" style="282" customWidth="1"/>
    <col min="13058" max="13058" width="16.875" style="282" customWidth="1"/>
    <col min="13059" max="13312" width="9" style="282"/>
    <col min="13313" max="13313" width="30" style="282" customWidth="1"/>
    <col min="13314" max="13314" width="16.875" style="282" customWidth="1"/>
    <col min="13315" max="13568" width="9" style="282"/>
    <col min="13569" max="13569" width="30" style="282" customWidth="1"/>
    <col min="13570" max="13570" width="16.875" style="282" customWidth="1"/>
    <col min="13571" max="13824" width="9" style="282"/>
    <col min="13825" max="13825" width="30" style="282" customWidth="1"/>
    <col min="13826" max="13826" width="16.875" style="282" customWidth="1"/>
    <col min="13827" max="14080" width="9" style="282"/>
    <col min="14081" max="14081" width="30" style="282" customWidth="1"/>
    <col min="14082" max="14082" width="16.875" style="282" customWidth="1"/>
    <col min="14083" max="14336" width="9" style="282"/>
    <col min="14337" max="14337" width="30" style="282" customWidth="1"/>
    <col min="14338" max="14338" width="16.875" style="282" customWidth="1"/>
    <col min="14339" max="14592" width="9" style="282"/>
    <col min="14593" max="14593" width="30" style="282" customWidth="1"/>
    <col min="14594" max="14594" width="16.875" style="282" customWidth="1"/>
    <col min="14595" max="14848" width="9" style="282"/>
    <col min="14849" max="14849" width="30" style="282" customWidth="1"/>
    <col min="14850" max="14850" width="16.875" style="282" customWidth="1"/>
    <col min="14851" max="15104" width="9" style="282"/>
    <col min="15105" max="15105" width="30" style="282" customWidth="1"/>
    <col min="15106" max="15106" width="16.875" style="282" customWidth="1"/>
    <col min="15107" max="15360" width="9" style="282"/>
    <col min="15361" max="15361" width="30" style="282" customWidth="1"/>
    <col min="15362" max="15362" width="16.875" style="282" customWidth="1"/>
    <col min="15363" max="15616" width="9" style="282"/>
    <col min="15617" max="15617" width="30" style="282" customWidth="1"/>
    <col min="15618" max="15618" width="16.875" style="282" customWidth="1"/>
    <col min="15619" max="15872" width="9" style="282"/>
    <col min="15873" max="15873" width="30" style="282" customWidth="1"/>
    <col min="15874" max="15874" width="16.875" style="282" customWidth="1"/>
    <col min="15875" max="16128" width="9" style="282"/>
    <col min="16129" max="16129" width="30" style="282" customWidth="1"/>
    <col min="16130" max="16130" width="16.875" style="282" customWidth="1"/>
    <col min="16131" max="16384" width="9" style="282"/>
  </cols>
  <sheetData>
    <row r="1" spans="1:2" ht="15" customHeight="1" x14ac:dyDescent="0.2">
      <c r="A1" s="556" t="s">
        <v>419</v>
      </c>
      <c r="B1" s="556"/>
    </row>
    <row r="2" spans="1:2" ht="15" customHeight="1" x14ac:dyDescent="0.2">
      <c r="A2" s="378" t="s">
        <v>420</v>
      </c>
      <c r="B2" s="379">
        <v>1818971</v>
      </c>
    </row>
    <row r="3" spans="1:2" ht="15" customHeight="1" x14ac:dyDescent="0.2">
      <c r="A3" s="378" t="s">
        <v>417</v>
      </c>
      <c r="B3" s="380">
        <f>'Fare Inputs'!H4</f>
        <v>1455098</v>
      </c>
    </row>
    <row r="4" spans="1:2" ht="15" customHeight="1" x14ac:dyDescent="0.2">
      <c r="A4" s="381" t="s">
        <v>453</v>
      </c>
      <c r="B4" s="382">
        <f>+B3-B2</f>
        <v>-363873</v>
      </c>
    </row>
  </sheetData>
  <mergeCells count="1">
    <mergeCell ref="A1:B1"/>
  </mergeCells>
  <pageMargins left="0.75" right="0.75" top="1" bottom="1" header="0.5" footer="0.5"/>
  <pageSetup orientation="portrait" verticalDpi="4294967295"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2D60C1-98A2-4BDF-872A-1EE74704A841}">
  <dimension ref="A1:B12"/>
  <sheetViews>
    <sheetView zoomScale="106" zoomScaleNormal="106" workbookViewId="0">
      <selection sqref="A1:B10"/>
    </sheetView>
  </sheetViews>
  <sheetFormatPr defaultRowHeight="12.75" x14ac:dyDescent="0.2"/>
  <cols>
    <col min="1" max="1" width="23" style="282" customWidth="1"/>
    <col min="2" max="2" width="15.125" style="282" customWidth="1"/>
    <col min="3" max="256" width="9" style="282"/>
    <col min="257" max="257" width="23" style="282" customWidth="1"/>
    <col min="258" max="258" width="15.125" style="282" customWidth="1"/>
    <col min="259" max="512" width="9" style="282"/>
    <col min="513" max="513" width="23" style="282" customWidth="1"/>
    <col min="514" max="514" width="15.125" style="282" customWidth="1"/>
    <col min="515" max="768" width="9" style="282"/>
    <col min="769" max="769" width="23" style="282" customWidth="1"/>
    <col min="770" max="770" width="15.125" style="282" customWidth="1"/>
    <col min="771" max="1024" width="9" style="282"/>
    <col min="1025" max="1025" width="23" style="282" customWidth="1"/>
    <col min="1026" max="1026" width="15.125" style="282" customWidth="1"/>
    <col min="1027" max="1280" width="9" style="282"/>
    <col min="1281" max="1281" width="23" style="282" customWidth="1"/>
    <col min="1282" max="1282" width="15.125" style="282" customWidth="1"/>
    <col min="1283" max="1536" width="9" style="282"/>
    <col min="1537" max="1537" width="23" style="282" customWidth="1"/>
    <col min="1538" max="1538" width="15.125" style="282" customWidth="1"/>
    <col min="1539" max="1792" width="9" style="282"/>
    <col min="1793" max="1793" width="23" style="282" customWidth="1"/>
    <col min="1794" max="1794" width="15.125" style="282" customWidth="1"/>
    <col min="1795" max="2048" width="9" style="282"/>
    <col min="2049" max="2049" width="23" style="282" customWidth="1"/>
    <col min="2050" max="2050" width="15.125" style="282" customWidth="1"/>
    <col min="2051" max="2304" width="9" style="282"/>
    <col min="2305" max="2305" width="23" style="282" customWidth="1"/>
    <col min="2306" max="2306" width="15.125" style="282" customWidth="1"/>
    <col min="2307" max="2560" width="9" style="282"/>
    <col min="2561" max="2561" width="23" style="282" customWidth="1"/>
    <col min="2562" max="2562" width="15.125" style="282" customWidth="1"/>
    <col min="2563" max="2816" width="9" style="282"/>
    <col min="2817" max="2817" width="23" style="282" customWidth="1"/>
    <col min="2818" max="2818" width="15.125" style="282" customWidth="1"/>
    <col min="2819" max="3072" width="9" style="282"/>
    <col min="3073" max="3073" width="23" style="282" customWidth="1"/>
    <col min="3074" max="3074" width="15.125" style="282" customWidth="1"/>
    <col min="3075" max="3328" width="9" style="282"/>
    <col min="3329" max="3329" width="23" style="282" customWidth="1"/>
    <col min="3330" max="3330" width="15.125" style="282" customWidth="1"/>
    <col min="3331" max="3584" width="9" style="282"/>
    <col min="3585" max="3585" width="23" style="282" customWidth="1"/>
    <col min="3586" max="3586" width="15.125" style="282" customWidth="1"/>
    <col min="3587" max="3840" width="9" style="282"/>
    <col min="3841" max="3841" width="23" style="282" customWidth="1"/>
    <col min="3842" max="3842" width="15.125" style="282" customWidth="1"/>
    <col min="3843" max="4096" width="9" style="282"/>
    <col min="4097" max="4097" width="23" style="282" customWidth="1"/>
    <col min="4098" max="4098" width="15.125" style="282" customWidth="1"/>
    <col min="4099" max="4352" width="9" style="282"/>
    <col min="4353" max="4353" width="23" style="282" customWidth="1"/>
    <col min="4354" max="4354" width="15.125" style="282" customWidth="1"/>
    <col min="4355" max="4608" width="9" style="282"/>
    <col min="4609" max="4609" width="23" style="282" customWidth="1"/>
    <col min="4610" max="4610" width="15.125" style="282" customWidth="1"/>
    <col min="4611" max="4864" width="9" style="282"/>
    <col min="4865" max="4865" width="23" style="282" customWidth="1"/>
    <col min="4866" max="4866" width="15.125" style="282" customWidth="1"/>
    <col min="4867" max="5120" width="9" style="282"/>
    <col min="5121" max="5121" width="23" style="282" customWidth="1"/>
    <col min="5122" max="5122" width="15.125" style="282" customWidth="1"/>
    <col min="5123" max="5376" width="9" style="282"/>
    <col min="5377" max="5377" width="23" style="282" customWidth="1"/>
    <col min="5378" max="5378" width="15.125" style="282" customWidth="1"/>
    <col min="5379" max="5632" width="9" style="282"/>
    <col min="5633" max="5633" width="23" style="282" customWidth="1"/>
    <col min="5634" max="5634" width="15.125" style="282" customWidth="1"/>
    <col min="5635" max="5888" width="9" style="282"/>
    <col min="5889" max="5889" width="23" style="282" customWidth="1"/>
    <col min="5890" max="5890" width="15.125" style="282" customWidth="1"/>
    <col min="5891" max="6144" width="9" style="282"/>
    <col min="6145" max="6145" width="23" style="282" customWidth="1"/>
    <col min="6146" max="6146" width="15.125" style="282" customWidth="1"/>
    <col min="6147" max="6400" width="9" style="282"/>
    <col min="6401" max="6401" width="23" style="282" customWidth="1"/>
    <col min="6402" max="6402" width="15.125" style="282" customWidth="1"/>
    <col min="6403" max="6656" width="9" style="282"/>
    <col min="6657" max="6657" width="23" style="282" customWidth="1"/>
    <col min="6658" max="6658" width="15.125" style="282" customWidth="1"/>
    <col min="6659" max="6912" width="9" style="282"/>
    <col min="6913" max="6913" width="23" style="282" customWidth="1"/>
    <col min="6914" max="6914" width="15.125" style="282" customWidth="1"/>
    <col min="6915" max="7168" width="9" style="282"/>
    <col min="7169" max="7169" width="23" style="282" customWidth="1"/>
    <col min="7170" max="7170" width="15.125" style="282" customWidth="1"/>
    <col min="7171" max="7424" width="9" style="282"/>
    <col min="7425" max="7425" width="23" style="282" customWidth="1"/>
    <col min="7426" max="7426" width="15.125" style="282" customWidth="1"/>
    <col min="7427" max="7680" width="9" style="282"/>
    <col min="7681" max="7681" width="23" style="282" customWidth="1"/>
    <col min="7682" max="7682" width="15.125" style="282" customWidth="1"/>
    <col min="7683" max="7936" width="9" style="282"/>
    <col min="7937" max="7937" width="23" style="282" customWidth="1"/>
    <col min="7938" max="7938" width="15.125" style="282" customWidth="1"/>
    <col min="7939" max="8192" width="9" style="282"/>
    <col min="8193" max="8193" width="23" style="282" customWidth="1"/>
    <col min="8194" max="8194" width="15.125" style="282" customWidth="1"/>
    <col min="8195" max="8448" width="9" style="282"/>
    <col min="8449" max="8449" width="23" style="282" customWidth="1"/>
    <col min="8450" max="8450" width="15.125" style="282" customWidth="1"/>
    <col min="8451" max="8704" width="9" style="282"/>
    <col min="8705" max="8705" width="23" style="282" customWidth="1"/>
    <col min="8706" max="8706" width="15.125" style="282" customWidth="1"/>
    <col min="8707" max="8960" width="9" style="282"/>
    <col min="8961" max="8961" width="23" style="282" customWidth="1"/>
    <col min="8962" max="8962" width="15.125" style="282" customWidth="1"/>
    <col min="8963" max="9216" width="9" style="282"/>
    <col min="9217" max="9217" width="23" style="282" customWidth="1"/>
    <col min="9218" max="9218" width="15.125" style="282" customWidth="1"/>
    <col min="9219" max="9472" width="9" style="282"/>
    <col min="9473" max="9473" width="23" style="282" customWidth="1"/>
    <col min="9474" max="9474" width="15.125" style="282" customWidth="1"/>
    <col min="9475" max="9728" width="9" style="282"/>
    <col min="9729" max="9729" width="23" style="282" customWidth="1"/>
    <col min="9730" max="9730" width="15.125" style="282" customWidth="1"/>
    <col min="9731" max="9984" width="9" style="282"/>
    <col min="9985" max="9985" width="23" style="282" customWidth="1"/>
    <col min="9986" max="9986" width="15.125" style="282" customWidth="1"/>
    <col min="9987" max="10240" width="9" style="282"/>
    <col min="10241" max="10241" width="23" style="282" customWidth="1"/>
    <col min="10242" max="10242" width="15.125" style="282" customWidth="1"/>
    <col min="10243" max="10496" width="9" style="282"/>
    <col min="10497" max="10497" width="23" style="282" customWidth="1"/>
    <col min="10498" max="10498" width="15.125" style="282" customWidth="1"/>
    <col min="10499" max="10752" width="9" style="282"/>
    <col min="10753" max="10753" width="23" style="282" customWidth="1"/>
    <col min="10754" max="10754" width="15.125" style="282" customWidth="1"/>
    <col min="10755" max="11008" width="9" style="282"/>
    <col min="11009" max="11009" width="23" style="282" customWidth="1"/>
    <col min="11010" max="11010" width="15.125" style="282" customWidth="1"/>
    <col min="11011" max="11264" width="9" style="282"/>
    <col min="11265" max="11265" width="23" style="282" customWidth="1"/>
    <col min="11266" max="11266" width="15.125" style="282" customWidth="1"/>
    <col min="11267" max="11520" width="9" style="282"/>
    <col min="11521" max="11521" width="23" style="282" customWidth="1"/>
    <col min="11522" max="11522" width="15.125" style="282" customWidth="1"/>
    <col min="11523" max="11776" width="9" style="282"/>
    <col min="11777" max="11777" width="23" style="282" customWidth="1"/>
    <col min="11778" max="11778" width="15.125" style="282" customWidth="1"/>
    <col min="11779" max="12032" width="9" style="282"/>
    <col min="12033" max="12033" width="23" style="282" customWidth="1"/>
    <col min="12034" max="12034" width="15.125" style="282" customWidth="1"/>
    <col min="12035" max="12288" width="9" style="282"/>
    <col min="12289" max="12289" width="23" style="282" customWidth="1"/>
    <col min="12290" max="12290" width="15.125" style="282" customWidth="1"/>
    <col min="12291" max="12544" width="9" style="282"/>
    <col min="12545" max="12545" width="23" style="282" customWidth="1"/>
    <col min="12546" max="12546" width="15.125" style="282" customWidth="1"/>
    <col min="12547" max="12800" width="9" style="282"/>
    <col min="12801" max="12801" width="23" style="282" customWidth="1"/>
    <col min="12802" max="12802" width="15.125" style="282" customWidth="1"/>
    <col min="12803" max="13056" width="9" style="282"/>
    <col min="13057" max="13057" width="23" style="282" customWidth="1"/>
    <col min="13058" max="13058" width="15.125" style="282" customWidth="1"/>
    <col min="13059" max="13312" width="9" style="282"/>
    <col min="13313" max="13313" width="23" style="282" customWidth="1"/>
    <col min="13314" max="13314" width="15.125" style="282" customWidth="1"/>
    <col min="13315" max="13568" width="9" style="282"/>
    <col min="13569" max="13569" width="23" style="282" customWidth="1"/>
    <col min="13570" max="13570" width="15.125" style="282" customWidth="1"/>
    <col min="13571" max="13824" width="9" style="282"/>
    <col min="13825" max="13825" width="23" style="282" customWidth="1"/>
    <col min="13826" max="13826" width="15.125" style="282" customWidth="1"/>
    <col min="13827" max="14080" width="9" style="282"/>
    <col min="14081" max="14081" width="23" style="282" customWidth="1"/>
    <col min="14082" max="14082" width="15.125" style="282" customWidth="1"/>
    <col min="14083" max="14336" width="9" style="282"/>
    <col min="14337" max="14337" width="23" style="282" customWidth="1"/>
    <col min="14338" max="14338" width="15.125" style="282" customWidth="1"/>
    <col min="14339" max="14592" width="9" style="282"/>
    <col min="14593" max="14593" width="23" style="282" customWidth="1"/>
    <col min="14594" max="14594" width="15.125" style="282" customWidth="1"/>
    <col min="14595" max="14848" width="9" style="282"/>
    <col min="14849" max="14849" width="23" style="282" customWidth="1"/>
    <col min="14850" max="14850" width="15.125" style="282" customWidth="1"/>
    <col min="14851" max="15104" width="9" style="282"/>
    <col min="15105" max="15105" width="23" style="282" customWidth="1"/>
    <col min="15106" max="15106" width="15.125" style="282" customWidth="1"/>
    <col min="15107" max="15360" width="9" style="282"/>
    <col min="15361" max="15361" width="23" style="282" customWidth="1"/>
    <col min="15362" max="15362" width="15.125" style="282" customWidth="1"/>
    <col min="15363" max="15616" width="9" style="282"/>
    <col min="15617" max="15617" width="23" style="282" customWidth="1"/>
    <col min="15618" max="15618" width="15.125" style="282" customWidth="1"/>
    <col min="15619" max="15872" width="9" style="282"/>
    <col min="15873" max="15873" width="23" style="282" customWidth="1"/>
    <col min="15874" max="15874" width="15.125" style="282" customWidth="1"/>
    <col min="15875" max="16128" width="9" style="282"/>
    <col min="16129" max="16129" width="23" style="282" customWidth="1"/>
    <col min="16130" max="16130" width="15.125" style="282" customWidth="1"/>
    <col min="16131" max="16384" width="9" style="282"/>
  </cols>
  <sheetData>
    <row r="1" spans="1:2" x14ac:dyDescent="0.2">
      <c r="A1" s="557" t="s">
        <v>421</v>
      </c>
      <c r="B1" s="558"/>
    </row>
    <row r="2" spans="1:2" ht="15" customHeight="1" x14ac:dyDescent="0.2">
      <c r="A2" s="378" t="s">
        <v>104</v>
      </c>
      <c r="B2" s="379">
        <f>'Revenue Target Calculation'!C61</f>
        <v>4694137.16</v>
      </c>
    </row>
    <row r="3" spans="1:2" ht="15" customHeight="1" x14ac:dyDescent="0.2">
      <c r="A3" s="378" t="s">
        <v>422</v>
      </c>
      <c r="B3" s="383">
        <f>-'Revenue Target Calculation'!C63</f>
        <v>-291086</v>
      </c>
    </row>
    <row r="4" spans="1:2" ht="15" customHeight="1" x14ac:dyDescent="0.2">
      <c r="A4" s="378" t="s">
        <v>423</v>
      </c>
      <c r="B4" s="383">
        <f>-'Revenue Target Calculation'!C62</f>
        <v>-93103.43</v>
      </c>
    </row>
    <row r="5" spans="1:2" ht="15" customHeight="1" x14ac:dyDescent="0.2">
      <c r="A5" s="378" t="s">
        <v>424</v>
      </c>
      <c r="B5" s="383">
        <f>-'Revenue Target Calculation'!C64</f>
        <v>-14774</v>
      </c>
    </row>
    <row r="6" spans="1:2" ht="15" customHeight="1" x14ac:dyDescent="0.2">
      <c r="A6" s="378" t="s">
        <v>425</v>
      </c>
      <c r="B6" s="380">
        <f>B2+B3+B4+B5</f>
        <v>4295173.7300000004</v>
      </c>
    </row>
    <row r="7" spans="1:2" ht="15" customHeight="1" x14ac:dyDescent="0.2">
      <c r="A7" s="378" t="s">
        <v>417</v>
      </c>
      <c r="B7" s="380">
        <f>-'Fare Inputs'!H4</f>
        <v>-1455098</v>
      </c>
    </row>
    <row r="8" spans="1:2" ht="15" customHeight="1" x14ac:dyDescent="0.2">
      <c r="A8" s="378" t="s">
        <v>320</v>
      </c>
      <c r="B8" s="380">
        <f>+B6+B7</f>
        <v>2840075.7300000004</v>
      </c>
    </row>
    <row r="9" spans="1:2" x14ac:dyDescent="0.2">
      <c r="A9" s="378" t="s">
        <v>426</v>
      </c>
      <c r="B9" s="384">
        <f>-'Fare Inputs'!H6</f>
        <v>-604964</v>
      </c>
    </row>
    <row r="10" spans="1:2" x14ac:dyDescent="0.2">
      <c r="A10" s="385" t="s">
        <v>357</v>
      </c>
      <c r="B10" s="386">
        <f>B8+B9</f>
        <v>2235111.7300000004</v>
      </c>
    </row>
    <row r="12" spans="1:2" x14ac:dyDescent="0.2">
      <c r="A12" s="312"/>
    </row>
  </sheetData>
  <mergeCells count="1">
    <mergeCell ref="A1:B1"/>
  </mergeCells>
  <pageMargins left="0.75" right="0.75" top="1" bottom="1" header="0.5" footer="0.5"/>
  <pageSetup orientation="portrait" verticalDpi="4294967295"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DA6D5-A1C5-4AE6-9326-F2515DC78CB9}">
  <dimension ref="A1:B18"/>
  <sheetViews>
    <sheetView workbookViewId="0">
      <selection sqref="A1:B6"/>
    </sheetView>
  </sheetViews>
  <sheetFormatPr defaultRowHeight="12.75" x14ac:dyDescent="0.2"/>
  <cols>
    <col min="1" max="1" width="14.625" style="282" customWidth="1"/>
    <col min="2" max="2" width="24" style="282" customWidth="1"/>
    <col min="3" max="256" width="9" style="282"/>
    <col min="257" max="257" width="14.625" style="282" customWidth="1"/>
    <col min="258" max="258" width="24" style="282" customWidth="1"/>
    <col min="259" max="512" width="9" style="282"/>
    <col min="513" max="513" width="14.625" style="282" customWidth="1"/>
    <col min="514" max="514" width="24" style="282" customWidth="1"/>
    <col min="515" max="768" width="9" style="282"/>
    <col min="769" max="769" width="14.625" style="282" customWidth="1"/>
    <col min="770" max="770" width="24" style="282" customWidth="1"/>
    <col min="771" max="1024" width="9" style="282"/>
    <col min="1025" max="1025" width="14.625" style="282" customWidth="1"/>
    <col min="1026" max="1026" width="24" style="282" customWidth="1"/>
    <col min="1027" max="1280" width="9" style="282"/>
    <col min="1281" max="1281" width="14.625" style="282" customWidth="1"/>
    <col min="1282" max="1282" width="24" style="282" customWidth="1"/>
    <col min="1283" max="1536" width="9" style="282"/>
    <col min="1537" max="1537" width="14.625" style="282" customWidth="1"/>
    <col min="1538" max="1538" width="24" style="282" customWidth="1"/>
    <col min="1539" max="1792" width="9" style="282"/>
    <col min="1793" max="1793" width="14.625" style="282" customWidth="1"/>
    <col min="1794" max="1794" width="24" style="282" customWidth="1"/>
    <col min="1795" max="2048" width="9" style="282"/>
    <col min="2049" max="2049" width="14.625" style="282" customWidth="1"/>
    <col min="2050" max="2050" width="24" style="282" customWidth="1"/>
    <col min="2051" max="2304" width="9" style="282"/>
    <col min="2305" max="2305" width="14.625" style="282" customWidth="1"/>
    <col min="2306" max="2306" width="24" style="282" customWidth="1"/>
    <col min="2307" max="2560" width="9" style="282"/>
    <col min="2561" max="2561" width="14.625" style="282" customWidth="1"/>
    <col min="2562" max="2562" width="24" style="282" customWidth="1"/>
    <col min="2563" max="2816" width="9" style="282"/>
    <col min="2817" max="2817" width="14.625" style="282" customWidth="1"/>
    <col min="2818" max="2818" width="24" style="282" customWidth="1"/>
    <col min="2819" max="3072" width="9" style="282"/>
    <col min="3073" max="3073" width="14.625" style="282" customWidth="1"/>
    <col min="3074" max="3074" width="24" style="282" customWidth="1"/>
    <col min="3075" max="3328" width="9" style="282"/>
    <col min="3329" max="3329" width="14.625" style="282" customWidth="1"/>
    <col min="3330" max="3330" width="24" style="282" customWidth="1"/>
    <col min="3331" max="3584" width="9" style="282"/>
    <col min="3585" max="3585" width="14.625" style="282" customWidth="1"/>
    <col min="3586" max="3586" width="24" style="282" customWidth="1"/>
    <col min="3587" max="3840" width="9" style="282"/>
    <col min="3841" max="3841" width="14.625" style="282" customWidth="1"/>
    <col min="3842" max="3842" width="24" style="282" customWidth="1"/>
    <col min="3843" max="4096" width="9" style="282"/>
    <col min="4097" max="4097" width="14.625" style="282" customWidth="1"/>
    <col min="4098" max="4098" width="24" style="282" customWidth="1"/>
    <col min="4099" max="4352" width="9" style="282"/>
    <col min="4353" max="4353" width="14.625" style="282" customWidth="1"/>
    <col min="4354" max="4354" width="24" style="282" customWidth="1"/>
    <col min="4355" max="4608" width="9" style="282"/>
    <col min="4609" max="4609" width="14.625" style="282" customWidth="1"/>
    <col min="4610" max="4610" width="24" style="282" customWidth="1"/>
    <col min="4611" max="4864" width="9" style="282"/>
    <col min="4865" max="4865" width="14.625" style="282" customWidth="1"/>
    <col min="4866" max="4866" width="24" style="282" customWidth="1"/>
    <col min="4867" max="5120" width="9" style="282"/>
    <col min="5121" max="5121" width="14.625" style="282" customWidth="1"/>
    <col min="5122" max="5122" width="24" style="282" customWidth="1"/>
    <col min="5123" max="5376" width="9" style="282"/>
    <col min="5377" max="5377" width="14.625" style="282" customWidth="1"/>
    <col min="5378" max="5378" width="24" style="282" customWidth="1"/>
    <col min="5379" max="5632" width="9" style="282"/>
    <col min="5633" max="5633" width="14.625" style="282" customWidth="1"/>
    <col min="5634" max="5634" width="24" style="282" customWidth="1"/>
    <col min="5635" max="5888" width="9" style="282"/>
    <col min="5889" max="5889" width="14.625" style="282" customWidth="1"/>
    <col min="5890" max="5890" width="24" style="282" customWidth="1"/>
    <col min="5891" max="6144" width="9" style="282"/>
    <col min="6145" max="6145" width="14.625" style="282" customWidth="1"/>
    <col min="6146" max="6146" width="24" style="282" customWidth="1"/>
    <col min="6147" max="6400" width="9" style="282"/>
    <col min="6401" max="6401" width="14.625" style="282" customWidth="1"/>
    <col min="6402" max="6402" width="24" style="282" customWidth="1"/>
    <col min="6403" max="6656" width="9" style="282"/>
    <col min="6657" max="6657" width="14.625" style="282" customWidth="1"/>
    <col min="6658" max="6658" width="24" style="282" customWidth="1"/>
    <col min="6659" max="6912" width="9" style="282"/>
    <col min="6913" max="6913" width="14.625" style="282" customWidth="1"/>
    <col min="6914" max="6914" width="24" style="282" customWidth="1"/>
    <col min="6915" max="7168" width="9" style="282"/>
    <col min="7169" max="7169" width="14.625" style="282" customWidth="1"/>
    <col min="7170" max="7170" width="24" style="282" customWidth="1"/>
    <col min="7171" max="7424" width="9" style="282"/>
    <col min="7425" max="7425" width="14.625" style="282" customWidth="1"/>
    <col min="7426" max="7426" width="24" style="282" customWidth="1"/>
    <col min="7427" max="7680" width="9" style="282"/>
    <col min="7681" max="7681" width="14.625" style="282" customWidth="1"/>
    <col min="7682" max="7682" width="24" style="282" customWidth="1"/>
    <col min="7683" max="7936" width="9" style="282"/>
    <col min="7937" max="7937" width="14.625" style="282" customWidth="1"/>
    <col min="7938" max="7938" width="24" style="282" customWidth="1"/>
    <col min="7939" max="8192" width="9" style="282"/>
    <col min="8193" max="8193" width="14.625" style="282" customWidth="1"/>
    <col min="8194" max="8194" width="24" style="282" customWidth="1"/>
    <col min="8195" max="8448" width="9" style="282"/>
    <col min="8449" max="8449" width="14.625" style="282" customWidth="1"/>
    <col min="8450" max="8450" width="24" style="282" customWidth="1"/>
    <col min="8451" max="8704" width="9" style="282"/>
    <col min="8705" max="8705" width="14.625" style="282" customWidth="1"/>
    <col min="8706" max="8706" width="24" style="282" customWidth="1"/>
    <col min="8707" max="8960" width="9" style="282"/>
    <col min="8961" max="8961" width="14.625" style="282" customWidth="1"/>
    <col min="8962" max="8962" width="24" style="282" customWidth="1"/>
    <col min="8963" max="9216" width="9" style="282"/>
    <col min="9217" max="9217" width="14.625" style="282" customWidth="1"/>
    <col min="9218" max="9218" width="24" style="282" customWidth="1"/>
    <col min="9219" max="9472" width="9" style="282"/>
    <col min="9473" max="9473" width="14.625" style="282" customWidth="1"/>
    <col min="9474" max="9474" width="24" style="282" customWidth="1"/>
    <col min="9475" max="9728" width="9" style="282"/>
    <col min="9729" max="9729" width="14.625" style="282" customWidth="1"/>
    <col min="9730" max="9730" width="24" style="282" customWidth="1"/>
    <col min="9731" max="9984" width="9" style="282"/>
    <col min="9985" max="9985" width="14.625" style="282" customWidth="1"/>
    <col min="9986" max="9986" width="24" style="282" customWidth="1"/>
    <col min="9987" max="10240" width="9" style="282"/>
    <col min="10241" max="10241" width="14.625" style="282" customWidth="1"/>
    <col min="10242" max="10242" width="24" style="282" customWidth="1"/>
    <col min="10243" max="10496" width="9" style="282"/>
    <col min="10497" max="10497" width="14.625" style="282" customWidth="1"/>
    <col min="10498" max="10498" width="24" style="282" customWidth="1"/>
    <col min="10499" max="10752" width="9" style="282"/>
    <col min="10753" max="10753" width="14.625" style="282" customWidth="1"/>
    <col min="10754" max="10754" width="24" style="282" customWidth="1"/>
    <col min="10755" max="11008" width="9" style="282"/>
    <col min="11009" max="11009" width="14.625" style="282" customWidth="1"/>
    <col min="11010" max="11010" width="24" style="282" customWidth="1"/>
    <col min="11011" max="11264" width="9" style="282"/>
    <col min="11265" max="11265" width="14.625" style="282" customWidth="1"/>
    <col min="11266" max="11266" width="24" style="282" customWidth="1"/>
    <col min="11267" max="11520" width="9" style="282"/>
    <col min="11521" max="11521" width="14.625" style="282" customWidth="1"/>
    <col min="11522" max="11522" width="24" style="282" customWidth="1"/>
    <col min="11523" max="11776" width="9" style="282"/>
    <col min="11777" max="11777" width="14.625" style="282" customWidth="1"/>
    <col min="11778" max="11778" width="24" style="282" customWidth="1"/>
    <col min="11779" max="12032" width="9" style="282"/>
    <col min="12033" max="12033" width="14.625" style="282" customWidth="1"/>
    <col min="12034" max="12034" width="24" style="282" customWidth="1"/>
    <col min="12035" max="12288" width="9" style="282"/>
    <col min="12289" max="12289" width="14.625" style="282" customWidth="1"/>
    <col min="12290" max="12290" width="24" style="282" customWidth="1"/>
    <col min="12291" max="12544" width="9" style="282"/>
    <col min="12545" max="12545" width="14.625" style="282" customWidth="1"/>
    <col min="12546" max="12546" width="24" style="282" customWidth="1"/>
    <col min="12547" max="12800" width="9" style="282"/>
    <col min="12801" max="12801" width="14.625" style="282" customWidth="1"/>
    <col min="12802" max="12802" width="24" style="282" customWidth="1"/>
    <col min="12803" max="13056" width="9" style="282"/>
    <col min="13057" max="13057" width="14.625" style="282" customWidth="1"/>
    <col min="13058" max="13058" width="24" style="282" customWidth="1"/>
    <col min="13059" max="13312" width="9" style="282"/>
    <col min="13313" max="13313" width="14.625" style="282" customWidth="1"/>
    <col min="13314" max="13314" width="24" style="282" customWidth="1"/>
    <col min="13315" max="13568" width="9" style="282"/>
    <col min="13569" max="13569" width="14.625" style="282" customWidth="1"/>
    <col min="13570" max="13570" width="24" style="282" customWidth="1"/>
    <col min="13571" max="13824" width="9" style="282"/>
    <col min="13825" max="13825" width="14.625" style="282" customWidth="1"/>
    <col min="13826" max="13826" width="24" style="282" customWidth="1"/>
    <col min="13827" max="14080" width="9" style="282"/>
    <col min="14081" max="14081" width="14.625" style="282" customWidth="1"/>
    <col min="14082" max="14082" width="24" style="282" customWidth="1"/>
    <col min="14083" max="14336" width="9" style="282"/>
    <col min="14337" max="14337" width="14.625" style="282" customWidth="1"/>
    <col min="14338" max="14338" width="24" style="282" customWidth="1"/>
    <col min="14339" max="14592" width="9" style="282"/>
    <col min="14593" max="14593" width="14.625" style="282" customWidth="1"/>
    <col min="14594" max="14594" width="24" style="282" customWidth="1"/>
    <col min="14595" max="14848" width="9" style="282"/>
    <col min="14849" max="14849" width="14.625" style="282" customWidth="1"/>
    <col min="14850" max="14850" width="24" style="282" customWidth="1"/>
    <col min="14851" max="15104" width="9" style="282"/>
    <col min="15105" max="15105" width="14.625" style="282" customWidth="1"/>
    <col min="15106" max="15106" width="24" style="282" customWidth="1"/>
    <col min="15107" max="15360" width="9" style="282"/>
    <col min="15361" max="15361" width="14.625" style="282" customWidth="1"/>
    <col min="15362" max="15362" width="24" style="282" customWidth="1"/>
    <col min="15363" max="15616" width="9" style="282"/>
    <col min="15617" max="15617" width="14.625" style="282" customWidth="1"/>
    <col min="15618" max="15618" width="24" style="282" customWidth="1"/>
    <col min="15619" max="15872" width="9" style="282"/>
    <col min="15873" max="15873" width="14.625" style="282" customWidth="1"/>
    <col min="15874" max="15874" width="24" style="282" customWidth="1"/>
    <col min="15875" max="16128" width="9" style="282"/>
    <col min="16129" max="16129" width="14.625" style="282" customWidth="1"/>
    <col min="16130" max="16130" width="24" style="282" customWidth="1"/>
    <col min="16131" max="16384" width="9" style="282"/>
  </cols>
  <sheetData>
    <row r="1" spans="1:2" x14ac:dyDescent="0.2">
      <c r="A1" s="559" t="s">
        <v>427</v>
      </c>
      <c r="B1" s="560"/>
    </row>
    <row r="2" spans="1:2" ht="15" customHeight="1" x14ac:dyDescent="0.2">
      <c r="A2" s="387">
        <v>2021</v>
      </c>
      <c r="B2" s="388">
        <v>1115037</v>
      </c>
    </row>
    <row r="3" spans="1:2" x14ac:dyDescent="0.2">
      <c r="A3" s="387">
        <v>2022</v>
      </c>
      <c r="B3" s="388">
        <v>1201719</v>
      </c>
    </row>
    <row r="4" spans="1:2" x14ac:dyDescent="0.2">
      <c r="A4" s="387">
        <v>2023</v>
      </c>
      <c r="B4" s="388">
        <v>1250681</v>
      </c>
    </row>
    <row r="5" spans="1:2" x14ac:dyDescent="0.2">
      <c r="A5" s="387">
        <v>2024</v>
      </c>
      <c r="B5" s="380">
        <v>1346019</v>
      </c>
    </row>
    <row r="6" spans="1:2" x14ac:dyDescent="0.2">
      <c r="A6" s="387">
        <v>2025</v>
      </c>
      <c r="B6" s="380">
        <f>'Fare Inputs'!H4</f>
        <v>1455098</v>
      </c>
    </row>
    <row r="18" spans="2:2" x14ac:dyDescent="0.2">
      <c r="B18" s="313"/>
    </row>
  </sheetData>
  <mergeCells count="1">
    <mergeCell ref="A1:B1"/>
  </mergeCells>
  <pageMargins left="0.7" right="0.7" top="0.75" bottom="0.75" header="0.3" footer="0.3"/>
  <pageSetup orientation="portrait" verticalDpi="4294967295"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BFACB-161E-46F0-BEFD-B8E6C5ADB1A9}">
  <sheetPr>
    <pageSetUpPr fitToPage="1"/>
  </sheetPr>
  <dimension ref="A1:K29"/>
  <sheetViews>
    <sheetView zoomScaleNormal="100" workbookViewId="0">
      <selection activeCell="K19" sqref="K19"/>
    </sheetView>
  </sheetViews>
  <sheetFormatPr defaultColWidth="9" defaultRowHeight="15" x14ac:dyDescent="0.25"/>
  <cols>
    <col min="1" max="1" width="12.75" style="308" customWidth="1"/>
    <col min="2" max="4" width="13.75" style="308" bestFit="1" customWidth="1"/>
    <col min="5" max="5" width="11.875" style="308" customWidth="1"/>
    <col min="6" max="6" width="11.75" style="308" customWidth="1"/>
    <col min="7" max="7" width="6.625" style="308" customWidth="1"/>
    <col min="8" max="8" width="10.75" style="308" customWidth="1"/>
    <col min="9" max="9" width="8.125" style="308" bestFit="1" customWidth="1"/>
    <col min="10" max="10" width="9" style="308"/>
    <col min="11" max="11" width="12.5" style="308" bestFit="1" customWidth="1"/>
    <col min="12" max="16384" width="9" style="308"/>
  </cols>
  <sheetData>
    <row r="1" spans="1:11" x14ac:dyDescent="0.25">
      <c r="A1" s="561" t="s">
        <v>452</v>
      </c>
      <c r="B1" s="562"/>
      <c r="C1" s="562"/>
      <c r="D1" s="562"/>
      <c r="E1" s="562"/>
      <c r="F1" s="562"/>
      <c r="G1" s="562"/>
      <c r="H1" s="562"/>
      <c r="I1" s="563"/>
    </row>
    <row r="2" spans="1:11" ht="33.75" customHeight="1" x14ac:dyDescent="0.25">
      <c r="A2" s="389"/>
      <c r="B2" s="390">
        <v>2021</v>
      </c>
      <c r="C2" s="390">
        <v>2022</v>
      </c>
      <c r="D2" s="390">
        <v>2023</v>
      </c>
      <c r="E2" s="390">
        <v>2024</v>
      </c>
      <c r="F2" s="390">
        <v>2025</v>
      </c>
      <c r="G2" s="391" t="s">
        <v>440</v>
      </c>
      <c r="H2" s="392" t="s">
        <v>441</v>
      </c>
      <c r="I2" s="393" t="s">
        <v>442</v>
      </c>
    </row>
    <row r="3" spans="1:11" x14ac:dyDescent="0.25">
      <c r="A3" s="389" t="s">
        <v>443</v>
      </c>
      <c r="B3" s="394">
        <v>133417</v>
      </c>
      <c r="C3" s="394">
        <v>132992</v>
      </c>
      <c r="D3" s="394">
        <v>150119</v>
      </c>
      <c r="E3" s="394">
        <v>62400</v>
      </c>
      <c r="F3" s="394">
        <f>'Revenue Target Calculation'!C62</f>
        <v>93103.43</v>
      </c>
      <c r="G3" s="395">
        <f>+F3/F9</f>
        <v>1.9833981587363755E-2</v>
      </c>
      <c r="H3" s="396">
        <f t="shared" ref="H3:H8" si="0">AVERAGE(B3:F3)</f>
        <v>114406.28599999999</v>
      </c>
      <c r="I3" s="397">
        <f>H3/H9</f>
        <v>3.1472900911905771E-2</v>
      </c>
    </row>
    <row r="4" spans="1:11" x14ac:dyDescent="0.25">
      <c r="A4" s="389" t="s">
        <v>444</v>
      </c>
      <c r="B4" s="398">
        <v>1115037</v>
      </c>
      <c r="C4" s="398">
        <v>1201719</v>
      </c>
      <c r="D4" s="398">
        <v>1250681</v>
      </c>
      <c r="E4" s="398">
        <v>1346019</v>
      </c>
      <c r="F4" s="398">
        <f>'Fare Inputs'!H4</f>
        <v>1455098</v>
      </c>
      <c r="G4" s="395">
        <f>+F4/F9</f>
        <v>0.30998199464627485</v>
      </c>
      <c r="H4" s="396">
        <f t="shared" si="0"/>
        <v>1273710.8</v>
      </c>
      <c r="I4" s="397">
        <f>H4/H9</f>
        <v>0.35039485329350023</v>
      </c>
    </row>
    <row r="5" spans="1:11" x14ac:dyDescent="0.25">
      <c r="A5" s="389" t="s">
        <v>445</v>
      </c>
      <c r="B5" s="398">
        <v>184560</v>
      </c>
      <c r="C5" s="398">
        <v>451672</v>
      </c>
      <c r="D5" s="398">
        <v>212507</v>
      </c>
      <c r="E5" s="398">
        <v>269830</v>
      </c>
      <c r="F5" s="398">
        <f>'Revenue Target Calculation'!C63</f>
        <v>291086</v>
      </c>
      <c r="G5" s="395">
        <f>+F5/F9</f>
        <v>6.2010544233862992E-2</v>
      </c>
      <c r="H5" s="396">
        <f t="shared" si="0"/>
        <v>281931</v>
      </c>
      <c r="I5" s="397">
        <f>H5/H9</f>
        <v>7.7558556764918546E-2</v>
      </c>
    </row>
    <row r="6" spans="1:11" x14ac:dyDescent="0.25">
      <c r="A6" s="389" t="s">
        <v>446</v>
      </c>
      <c r="B6" s="398">
        <v>1711318</v>
      </c>
      <c r="C6" s="398">
        <v>1118211</v>
      </c>
      <c r="D6" s="398">
        <v>1708086</v>
      </c>
      <c r="E6" s="398">
        <v>915636</v>
      </c>
      <c r="F6" s="398">
        <f>'FFRTR Table 3'!B10</f>
        <v>2235111.7300000004</v>
      </c>
      <c r="G6" s="395">
        <f>+F6/F9</f>
        <v>0.47614964237644908</v>
      </c>
      <c r="H6" s="396">
        <f t="shared" si="0"/>
        <v>1537672.5460000001</v>
      </c>
      <c r="I6" s="397">
        <f>H6/H9</f>
        <v>0.42301011043410564</v>
      </c>
    </row>
    <row r="7" spans="1:11" x14ac:dyDescent="0.25">
      <c r="A7" s="389" t="s">
        <v>447</v>
      </c>
      <c r="B7" s="398"/>
      <c r="C7" s="398"/>
      <c r="D7" s="398">
        <v>350740</v>
      </c>
      <c r="E7" s="398">
        <v>286730</v>
      </c>
      <c r="F7" s="398">
        <f>'Fare Inputs'!H6</f>
        <v>604964</v>
      </c>
      <c r="G7" s="395">
        <f>+F7/F9</f>
        <v>0.12887650688076613</v>
      </c>
      <c r="H7" s="396">
        <f t="shared" si="0"/>
        <v>414144.66666666669</v>
      </c>
      <c r="I7" s="397">
        <f>H7/H9</f>
        <v>0.11393022632684925</v>
      </c>
    </row>
    <row r="8" spans="1:11" x14ac:dyDescent="0.25">
      <c r="A8" s="389" t="s">
        <v>424</v>
      </c>
      <c r="B8" s="398"/>
      <c r="C8" s="398"/>
      <c r="D8" s="398"/>
      <c r="E8" s="398">
        <v>11641</v>
      </c>
      <c r="F8" s="398">
        <f>'Revenue Target Calculation'!C64</f>
        <v>14774</v>
      </c>
      <c r="G8" s="395">
        <f>F8/F9</f>
        <v>3.1473302752832214E-3</v>
      </c>
      <c r="H8" s="396">
        <f t="shared" si="0"/>
        <v>13207.5</v>
      </c>
      <c r="I8" s="397">
        <f>H8/H9</f>
        <v>3.6333522687205795E-3</v>
      </c>
    </row>
    <row r="9" spans="1:11" x14ac:dyDescent="0.25">
      <c r="A9" s="399" t="s">
        <v>56</v>
      </c>
      <c r="B9" s="400">
        <f>B3+B4+B5+B6+B7+B8</f>
        <v>3144332</v>
      </c>
      <c r="C9" s="400">
        <f>C3+C4+C5+C6+C7+C8</f>
        <v>2904594</v>
      </c>
      <c r="D9" s="400">
        <f>D3+D4+D5+D6+D7+D8</f>
        <v>3672133</v>
      </c>
      <c r="E9" s="400">
        <f>E3+E4+E5+E6+E7+E8</f>
        <v>2892256</v>
      </c>
      <c r="F9" s="400">
        <f>F3+F4+F5+F6+F7+F8</f>
        <v>4694137.16</v>
      </c>
      <c r="G9" s="401">
        <f>SUM(G3:G8)</f>
        <v>1</v>
      </c>
      <c r="H9" s="400">
        <f>SUM(H3:H8)</f>
        <v>3635072.7986666667</v>
      </c>
      <c r="I9" s="402">
        <f>SUM(I3:I8)</f>
        <v>0.99999999999999989</v>
      </c>
      <c r="K9" s="309"/>
    </row>
    <row r="12" spans="1:11" x14ac:dyDescent="0.25">
      <c r="G12" s="310"/>
      <c r="H12" s="310"/>
    </row>
    <row r="14" spans="1:11" x14ac:dyDescent="0.25">
      <c r="J14" s="315"/>
    </row>
    <row r="15" spans="1:11" x14ac:dyDescent="0.25">
      <c r="J15" s="316"/>
    </row>
    <row r="16" spans="1:11" x14ac:dyDescent="0.25">
      <c r="J16" s="316"/>
    </row>
    <row r="29" spans="5:5" x14ac:dyDescent="0.25">
      <c r="E29" s="309"/>
    </row>
  </sheetData>
  <mergeCells count="1">
    <mergeCell ref="A1:I1"/>
  </mergeCells>
  <pageMargins left="0.7" right="0.7" top="0.75" bottom="0.75" header="0.3" footer="0.3"/>
  <pageSetup scale="83"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B6F8E-05C0-4039-B154-B1447538DFCB}">
  <sheetPr>
    <pageSetUpPr fitToPage="1"/>
  </sheetPr>
  <dimension ref="A1:M25"/>
  <sheetViews>
    <sheetView zoomScale="130" zoomScaleNormal="130" workbookViewId="0">
      <selection activeCell="E25" sqref="E25:I25"/>
    </sheetView>
  </sheetViews>
  <sheetFormatPr defaultColWidth="9" defaultRowHeight="15" x14ac:dyDescent="0.25"/>
  <cols>
    <col min="1" max="1" width="16.125" style="308" customWidth="1"/>
    <col min="2" max="2" width="10.5" style="308" customWidth="1"/>
    <col min="3" max="5" width="10.25" style="308" customWidth="1"/>
    <col min="6" max="6" width="11.625" style="308" customWidth="1"/>
    <col min="7" max="7" width="10.25" style="308" customWidth="1"/>
    <col min="8" max="8" width="11.75" style="308" customWidth="1"/>
    <col min="9" max="9" width="10.75" style="308" customWidth="1"/>
    <col min="10" max="10" width="10.25" style="308" customWidth="1"/>
    <col min="11" max="11" width="16.375" style="308" customWidth="1"/>
    <col min="12" max="16384" width="9" style="308"/>
  </cols>
  <sheetData>
    <row r="1" spans="1:11" x14ac:dyDescent="0.25">
      <c r="A1" s="564" t="s">
        <v>406</v>
      </c>
      <c r="B1" s="564"/>
      <c r="C1" s="564"/>
      <c r="D1" s="564"/>
      <c r="E1" s="564"/>
      <c r="F1" s="564"/>
      <c r="G1" s="564"/>
      <c r="H1" s="564"/>
      <c r="I1" s="564"/>
      <c r="J1" s="564"/>
    </row>
    <row r="2" spans="1:11" x14ac:dyDescent="0.25">
      <c r="A2" s="403"/>
      <c r="B2" s="404">
        <v>2021</v>
      </c>
      <c r="C2" s="404">
        <v>2022</v>
      </c>
      <c r="D2" s="404">
        <v>2023</v>
      </c>
      <c r="E2" s="404">
        <v>2024</v>
      </c>
      <c r="F2" s="404">
        <v>2025</v>
      </c>
      <c r="G2" s="404" t="s">
        <v>407</v>
      </c>
      <c r="H2" s="404" t="s">
        <v>408</v>
      </c>
      <c r="I2" s="404" t="s">
        <v>409</v>
      </c>
      <c r="J2" s="404" t="s">
        <v>410</v>
      </c>
      <c r="K2" s="435"/>
    </row>
    <row r="3" spans="1:11" ht="18.75" customHeight="1" x14ac:dyDescent="0.25">
      <c r="A3" s="405" t="s">
        <v>411</v>
      </c>
      <c r="B3" s="406">
        <v>3144332</v>
      </c>
      <c r="C3" s="406">
        <v>2904594</v>
      </c>
      <c r="D3" s="406">
        <v>3672134</v>
      </c>
      <c r="E3" s="406">
        <f>'Revenue Target Calculation'!B61</f>
        <v>2892255.92</v>
      </c>
      <c r="F3" s="406">
        <f>'Revenue Target Calculation'!C61</f>
        <v>4694137.16</v>
      </c>
      <c r="G3" s="406">
        <f>'Revenue Target Calculation'!D33</f>
        <v>5220860</v>
      </c>
      <c r="H3" s="406">
        <f>'Revenue Target Calculation'!E61</f>
        <v>5168229.561396</v>
      </c>
      <c r="I3" s="406">
        <f>'Revenue Target Calculation'!F61</f>
        <v>5295368.0086063417</v>
      </c>
      <c r="J3" s="406">
        <f>I3*1.03</f>
        <v>5454229.0488645323</v>
      </c>
      <c r="K3" s="309"/>
    </row>
    <row r="4" spans="1:11" ht="21" customHeight="1" x14ac:dyDescent="0.25">
      <c r="A4" s="405" t="s">
        <v>412</v>
      </c>
      <c r="B4" s="406">
        <v>2826710</v>
      </c>
      <c r="C4" s="406">
        <v>2319930</v>
      </c>
      <c r="D4" s="406">
        <v>3309507</v>
      </c>
      <c r="E4" s="407">
        <f>'Revenue Target Calculation'!B65</f>
        <v>2548384.92</v>
      </c>
      <c r="F4" s="407">
        <f>'Revenue Target Calculation'!C65</f>
        <v>4295173.7300000004</v>
      </c>
      <c r="G4" s="407">
        <f>'Revenue Target Calculation'!D65</f>
        <v>4579425.26</v>
      </c>
      <c r="H4" s="407">
        <f>'Revenue Target Calculation'!G65</f>
        <v>4206781.4160004668</v>
      </c>
      <c r="I4" s="407">
        <f>H4*1.03</f>
        <v>4332984.8584804805</v>
      </c>
      <c r="J4" s="407">
        <f>I4*1.03</f>
        <v>4462974.4042348955</v>
      </c>
      <c r="K4" s="309"/>
    </row>
    <row r="5" spans="1:11" ht="18.75" customHeight="1" x14ac:dyDescent="0.25">
      <c r="A5" s="403" t="s">
        <v>413</v>
      </c>
      <c r="B5" s="406">
        <v>1386935</v>
      </c>
      <c r="C5" s="406">
        <v>1463031</v>
      </c>
      <c r="D5" s="406">
        <v>1307220</v>
      </c>
      <c r="E5" s="406">
        <v>1307220</v>
      </c>
      <c r="F5" s="406">
        <f>'Fare Inputs'!H3</f>
        <v>1818971</v>
      </c>
      <c r="G5" s="406">
        <f>'Fare Inputs'!B3</f>
        <v>2319876</v>
      </c>
      <c r="H5" s="406">
        <f>'Revenue Target Calculation'!G67</f>
        <v>2524068.8496002802</v>
      </c>
      <c r="I5" s="406">
        <f>I4*0.65</f>
        <v>2816440.1580123124</v>
      </c>
      <c r="J5" s="406">
        <f>J4*0.65</f>
        <v>2900933.3627526821</v>
      </c>
    </row>
    <row r="7" spans="1:11" x14ac:dyDescent="0.25">
      <c r="G7" s="310"/>
    </row>
    <row r="14" spans="1:11" x14ac:dyDescent="0.25">
      <c r="K14" s="311"/>
    </row>
    <row r="15" spans="1:11" x14ac:dyDescent="0.25">
      <c r="K15" s="311"/>
    </row>
    <row r="17" spans="1:13" x14ac:dyDescent="0.25">
      <c r="K17" s="309"/>
      <c r="M17" s="311"/>
    </row>
    <row r="22" spans="1:13" x14ac:dyDescent="0.25">
      <c r="A22" s="565" t="s">
        <v>414</v>
      </c>
      <c r="B22" s="566"/>
      <c r="C22" s="566"/>
      <c r="D22" s="566"/>
      <c r="E22" s="566"/>
      <c r="F22" s="566"/>
      <c r="G22" s="566"/>
      <c r="H22" s="566"/>
      <c r="I22" s="566"/>
      <c r="J22" s="567"/>
    </row>
    <row r="23" spans="1:13" x14ac:dyDescent="0.25">
      <c r="A23" s="403"/>
      <c r="B23" s="404">
        <v>2021</v>
      </c>
      <c r="C23" s="404">
        <v>2022</v>
      </c>
      <c r="D23" s="404">
        <v>2023</v>
      </c>
      <c r="E23" s="404">
        <v>2024</v>
      </c>
      <c r="F23" s="404">
        <v>2025</v>
      </c>
      <c r="G23" s="404" t="s">
        <v>407</v>
      </c>
      <c r="H23" s="404" t="s">
        <v>408</v>
      </c>
      <c r="I23" s="404" t="s">
        <v>415</v>
      </c>
      <c r="J23" s="404" t="s">
        <v>416</v>
      </c>
    </row>
    <row r="24" spans="1:13" x14ac:dyDescent="0.25">
      <c r="A24" s="403" t="s">
        <v>417</v>
      </c>
      <c r="B24" s="408">
        <v>1115037</v>
      </c>
      <c r="C24" s="408">
        <v>1201719</v>
      </c>
      <c r="D24" s="408">
        <v>1250681</v>
      </c>
      <c r="E24" s="408">
        <v>1346019</v>
      </c>
      <c r="F24" s="408">
        <v>1455098</v>
      </c>
      <c r="G24" s="408">
        <f>'Fare Inputs'!B4</f>
        <v>1900000</v>
      </c>
      <c r="H24" s="408">
        <f>'Revenue Target Calculation'!G73</f>
        <v>2529427.75</v>
      </c>
      <c r="I24" s="408">
        <f>H24*1.13</f>
        <v>2858253.3574999999</v>
      </c>
      <c r="J24" s="408">
        <f>I24*1.03</f>
        <v>2944000.9582250002</v>
      </c>
    </row>
    <row r="25" spans="1:13" x14ac:dyDescent="0.25">
      <c r="A25" s="403" t="s">
        <v>418</v>
      </c>
      <c r="B25" s="408">
        <v>1711318</v>
      </c>
      <c r="C25" s="408">
        <v>1118211</v>
      </c>
      <c r="D25" s="408">
        <v>1708086</v>
      </c>
      <c r="E25" s="408">
        <f>'Table 5'!E6</f>
        <v>915636</v>
      </c>
      <c r="F25" s="408">
        <f>'FFRTR Table 3'!B10</f>
        <v>2235111.7300000004</v>
      </c>
      <c r="G25" s="408">
        <f>'26-27Cost&amp;RevPerHour'!D52</f>
        <v>2095355</v>
      </c>
      <c r="H25" s="408">
        <f>H4-H24</f>
        <v>1677353.6660004668</v>
      </c>
      <c r="I25" s="408">
        <f>I4-I24</f>
        <v>1474731.5009804806</v>
      </c>
      <c r="J25" s="408">
        <f>J4-J24</f>
        <v>1518973.4460098953</v>
      </c>
    </row>
  </sheetData>
  <mergeCells count="2">
    <mergeCell ref="A1:J1"/>
    <mergeCell ref="A22:J22"/>
  </mergeCells>
  <pageMargins left="0.7" right="0.7" top="0.75" bottom="0.75" header="0.3" footer="0.3"/>
  <pageSetup scale="83" orientation="landscape" verticalDpi="4294967295"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71F927-9B2D-4D3D-802D-7AEA52B595A9}">
  <dimension ref="A1:F6"/>
  <sheetViews>
    <sheetView workbookViewId="0">
      <selection sqref="A1:F5"/>
    </sheetView>
  </sheetViews>
  <sheetFormatPr defaultColWidth="9" defaultRowHeight="15" x14ac:dyDescent="0.25"/>
  <cols>
    <col min="1" max="1" width="16.25" style="308" customWidth="1"/>
    <col min="2" max="2" width="11" style="308" bestFit="1" customWidth="1"/>
    <col min="3" max="3" width="12" style="308" customWidth="1"/>
    <col min="4" max="4" width="11" style="308" bestFit="1" customWidth="1"/>
    <col min="5" max="5" width="11.625" style="308" bestFit="1" customWidth="1"/>
    <col min="6" max="6" width="12.5" style="308" bestFit="1" customWidth="1"/>
    <col min="7" max="7" width="16.5" style="308" customWidth="1"/>
    <col min="8" max="16384" width="9" style="308"/>
  </cols>
  <sheetData>
    <row r="1" spans="1:6" ht="15.75" x14ac:dyDescent="0.25">
      <c r="A1" s="568" t="s">
        <v>450</v>
      </c>
      <c r="B1" s="569"/>
      <c r="C1" s="569"/>
      <c r="D1" s="569"/>
      <c r="E1" s="569"/>
      <c r="F1" s="570"/>
    </row>
    <row r="2" spans="1:6" ht="15.75" x14ac:dyDescent="0.25">
      <c r="A2" s="327"/>
      <c r="B2" s="328">
        <v>2021</v>
      </c>
      <c r="C2" s="328">
        <v>2022</v>
      </c>
      <c r="D2" s="328">
        <v>2023</v>
      </c>
      <c r="E2" s="328">
        <v>2024</v>
      </c>
      <c r="F2" s="329">
        <v>2025</v>
      </c>
    </row>
    <row r="3" spans="1:6" ht="15.75" x14ac:dyDescent="0.25">
      <c r="A3" s="327" t="s">
        <v>413</v>
      </c>
      <c r="B3" s="330">
        <f>'FFRTR Table 6-7'!B5</f>
        <v>1386935</v>
      </c>
      <c r="C3" s="330">
        <f>'FFRTR Table 6-7'!C5</f>
        <v>1463031</v>
      </c>
      <c r="D3" s="330">
        <f>'FFRTR Table 6-7'!D5</f>
        <v>1307220</v>
      </c>
      <c r="E3" s="330">
        <f>'FFRTR Table 6-7'!E5</f>
        <v>1307220</v>
      </c>
      <c r="F3" s="331">
        <f>'FFRTR Table 6-7'!F5</f>
        <v>1818971</v>
      </c>
    </row>
    <row r="4" spans="1:6" ht="15.75" x14ac:dyDescent="0.25">
      <c r="A4" s="327" t="s">
        <v>417</v>
      </c>
      <c r="B4" s="330">
        <f>'FFRTR Table 6-7'!B24</f>
        <v>1115037</v>
      </c>
      <c r="C4" s="330">
        <f>'FFRTR Table 6-7'!C24</f>
        <v>1201719</v>
      </c>
      <c r="D4" s="330">
        <f>'FFRTR Table 6-7'!D24</f>
        <v>1250681</v>
      </c>
      <c r="E4" s="330">
        <f>'FFRTR Table 6-7'!E24</f>
        <v>1346019</v>
      </c>
      <c r="F4" s="331">
        <f>'FFRTR Table 6-7'!F24</f>
        <v>1455098</v>
      </c>
    </row>
    <row r="5" spans="1:6" ht="15.75" x14ac:dyDescent="0.25">
      <c r="A5" s="332" t="s">
        <v>435</v>
      </c>
      <c r="B5" s="333">
        <f>+B4-B3</f>
        <v>-271898</v>
      </c>
      <c r="C5" s="333">
        <f>+C4-C3</f>
        <v>-261312</v>
      </c>
      <c r="D5" s="333">
        <f>+D4-D3</f>
        <v>-56539</v>
      </c>
      <c r="E5" s="333">
        <f>+E4-E3</f>
        <v>38799</v>
      </c>
      <c r="F5" s="334">
        <f>+F4-F3</f>
        <v>-363873</v>
      </c>
    </row>
    <row r="6" spans="1:6" x14ac:dyDescent="0.25">
      <c r="A6" s="310"/>
    </row>
  </sheetData>
  <mergeCells count="1">
    <mergeCell ref="A1:F1"/>
  </mergeCells>
  <pageMargins left="0.7" right="0.7" top="0.75" bottom="0.75" header="0.3" footer="0.3"/>
  <pageSetup orientation="landscape" verticalDpi="4294967295"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CC5E7-FA48-47EC-965E-23DAA7C3226B}">
  <dimension ref="A1:B11"/>
  <sheetViews>
    <sheetView tabSelected="1" workbookViewId="0">
      <selection activeCell="B10" sqref="B10"/>
    </sheetView>
  </sheetViews>
  <sheetFormatPr defaultRowHeight="12.75" x14ac:dyDescent="0.2"/>
  <cols>
    <col min="1" max="1" width="18.375" style="282" customWidth="1"/>
    <col min="2" max="2" width="21.375" style="282" customWidth="1"/>
    <col min="3" max="256" width="9" style="282"/>
    <col min="257" max="257" width="18.375" style="282" customWidth="1"/>
    <col min="258" max="258" width="21.375" style="282" customWidth="1"/>
    <col min="259" max="512" width="9" style="282"/>
    <col min="513" max="513" width="18.375" style="282" customWidth="1"/>
    <col min="514" max="514" width="21.375" style="282" customWidth="1"/>
    <col min="515" max="768" width="9" style="282"/>
    <col min="769" max="769" width="18.375" style="282" customWidth="1"/>
    <col min="770" max="770" width="21.375" style="282" customWidth="1"/>
    <col min="771" max="1024" width="9" style="282"/>
    <col min="1025" max="1025" width="18.375" style="282" customWidth="1"/>
    <col min="1026" max="1026" width="21.375" style="282" customWidth="1"/>
    <col min="1027" max="1280" width="9" style="282"/>
    <col min="1281" max="1281" width="18.375" style="282" customWidth="1"/>
    <col min="1282" max="1282" width="21.375" style="282" customWidth="1"/>
    <col min="1283" max="1536" width="9" style="282"/>
    <col min="1537" max="1537" width="18.375" style="282" customWidth="1"/>
    <col min="1538" max="1538" width="21.375" style="282" customWidth="1"/>
    <col min="1539" max="1792" width="9" style="282"/>
    <col min="1793" max="1793" width="18.375" style="282" customWidth="1"/>
    <col min="1794" max="1794" width="21.375" style="282" customWidth="1"/>
    <col min="1795" max="2048" width="9" style="282"/>
    <col min="2049" max="2049" width="18.375" style="282" customWidth="1"/>
    <col min="2050" max="2050" width="21.375" style="282" customWidth="1"/>
    <col min="2051" max="2304" width="9" style="282"/>
    <col min="2305" max="2305" width="18.375" style="282" customWidth="1"/>
    <col min="2306" max="2306" width="21.375" style="282" customWidth="1"/>
    <col min="2307" max="2560" width="9" style="282"/>
    <col min="2561" max="2561" width="18.375" style="282" customWidth="1"/>
    <col min="2562" max="2562" width="21.375" style="282" customWidth="1"/>
    <col min="2563" max="2816" width="9" style="282"/>
    <col min="2817" max="2817" width="18.375" style="282" customWidth="1"/>
    <col min="2818" max="2818" width="21.375" style="282" customWidth="1"/>
    <col min="2819" max="3072" width="9" style="282"/>
    <col min="3073" max="3073" width="18.375" style="282" customWidth="1"/>
    <col min="3074" max="3074" width="21.375" style="282" customWidth="1"/>
    <col min="3075" max="3328" width="9" style="282"/>
    <col min="3329" max="3329" width="18.375" style="282" customWidth="1"/>
    <col min="3330" max="3330" width="21.375" style="282" customWidth="1"/>
    <col min="3331" max="3584" width="9" style="282"/>
    <col min="3585" max="3585" width="18.375" style="282" customWidth="1"/>
    <col min="3586" max="3586" width="21.375" style="282" customWidth="1"/>
    <col min="3587" max="3840" width="9" style="282"/>
    <col min="3841" max="3841" width="18.375" style="282" customWidth="1"/>
    <col min="3842" max="3842" width="21.375" style="282" customWidth="1"/>
    <col min="3843" max="4096" width="9" style="282"/>
    <col min="4097" max="4097" width="18.375" style="282" customWidth="1"/>
    <col min="4098" max="4098" width="21.375" style="282" customWidth="1"/>
    <col min="4099" max="4352" width="9" style="282"/>
    <col min="4353" max="4353" width="18.375" style="282" customWidth="1"/>
    <col min="4354" max="4354" width="21.375" style="282" customWidth="1"/>
    <col min="4355" max="4608" width="9" style="282"/>
    <col min="4609" max="4609" width="18.375" style="282" customWidth="1"/>
    <col min="4610" max="4610" width="21.375" style="282" customWidth="1"/>
    <col min="4611" max="4864" width="9" style="282"/>
    <col min="4865" max="4865" width="18.375" style="282" customWidth="1"/>
    <col min="4866" max="4866" width="21.375" style="282" customWidth="1"/>
    <col min="4867" max="5120" width="9" style="282"/>
    <col min="5121" max="5121" width="18.375" style="282" customWidth="1"/>
    <col min="5122" max="5122" width="21.375" style="282" customWidth="1"/>
    <col min="5123" max="5376" width="9" style="282"/>
    <col min="5377" max="5377" width="18.375" style="282" customWidth="1"/>
    <col min="5378" max="5378" width="21.375" style="282" customWidth="1"/>
    <col min="5379" max="5632" width="9" style="282"/>
    <col min="5633" max="5633" width="18.375" style="282" customWidth="1"/>
    <col min="5634" max="5634" width="21.375" style="282" customWidth="1"/>
    <col min="5635" max="5888" width="9" style="282"/>
    <col min="5889" max="5889" width="18.375" style="282" customWidth="1"/>
    <col min="5890" max="5890" width="21.375" style="282" customWidth="1"/>
    <col min="5891" max="6144" width="9" style="282"/>
    <col min="6145" max="6145" width="18.375" style="282" customWidth="1"/>
    <col min="6146" max="6146" width="21.375" style="282" customWidth="1"/>
    <col min="6147" max="6400" width="9" style="282"/>
    <col min="6401" max="6401" width="18.375" style="282" customWidth="1"/>
    <col min="6402" max="6402" width="21.375" style="282" customWidth="1"/>
    <col min="6403" max="6656" width="9" style="282"/>
    <col min="6657" max="6657" width="18.375" style="282" customWidth="1"/>
    <col min="6658" max="6658" width="21.375" style="282" customWidth="1"/>
    <col min="6659" max="6912" width="9" style="282"/>
    <col min="6913" max="6913" width="18.375" style="282" customWidth="1"/>
    <col min="6914" max="6914" width="21.375" style="282" customWidth="1"/>
    <col min="6915" max="7168" width="9" style="282"/>
    <col min="7169" max="7169" width="18.375" style="282" customWidth="1"/>
    <col min="7170" max="7170" width="21.375" style="282" customWidth="1"/>
    <col min="7171" max="7424" width="9" style="282"/>
    <col min="7425" max="7425" width="18.375" style="282" customWidth="1"/>
    <col min="7426" max="7426" width="21.375" style="282" customWidth="1"/>
    <col min="7427" max="7680" width="9" style="282"/>
    <col min="7681" max="7681" width="18.375" style="282" customWidth="1"/>
    <col min="7682" max="7682" width="21.375" style="282" customWidth="1"/>
    <col min="7683" max="7936" width="9" style="282"/>
    <col min="7937" max="7937" width="18.375" style="282" customWidth="1"/>
    <col min="7938" max="7938" width="21.375" style="282" customWidth="1"/>
    <col min="7939" max="8192" width="9" style="282"/>
    <col min="8193" max="8193" width="18.375" style="282" customWidth="1"/>
    <col min="8194" max="8194" width="21.375" style="282" customWidth="1"/>
    <col min="8195" max="8448" width="9" style="282"/>
    <col min="8449" max="8449" width="18.375" style="282" customWidth="1"/>
    <col min="8450" max="8450" width="21.375" style="282" customWidth="1"/>
    <col min="8451" max="8704" width="9" style="282"/>
    <col min="8705" max="8705" width="18.375" style="282" customWidth="1"/>
    <col min="8706" max="8706" width="21.375" style="282" customWidth="1"/>
    <col min="8707" max="8960" width="9" style="282"/>
    <col min="8961" max="8961" width="18.375" style="282" customWidth="1"/>
    <col min="8962" max="8962" width="21.375" style="282" customWidth="1"/>
    <col min="8963" max="9216" width="9" style="282"/>
    <col min="9217" max="9217" width="18.375" style="282" customWidth="1"/>
    <col min="9218" max="9218" width="21.375" style="282" customWidth="1"/>
    <col min="9219" max="9472" width="9" style="282"/>
    <col min="9473" max="9473" width="18.375" style="282" customWidth="1"/>
    <col min="9474" max="9474" width="21.375" style="282" customWidth="1"/>
    <col min="9475" max="9728" width="9" style="282"/>
    <col min="9729" max="9729" width="18.375" style="282" customWidth="1"/>
    <col min="9730" max="9730" width="21.375" style="282" customWidth="1"/>
    <col min="9731" max="9984" width="9" style="282"/>
    <col min="9985" max="9985" width="18.375" style="282" customWidth="1"/>
    <col min="9986" max="9986" width="21.375" style="282" customWidth="1"/>
    <col min="9987" max="10240" width="9" style="282"/>
    <col min="10241" max="10241" width="18.375" style="282" customWidth="1"/>
    <col min="10242" max="10242" width="21.375" style="282" customWidth="1"/>
    <col min="10243" max="10496" width="9" style="282"/>
    <col min="10497" max="10497" width="18.375" style="282" customWidth="1"/>
    <col min="10498" max="10498" width="21.375" style="282" customWidth="1"/>
    <col min="10499" max="10752" width="9" style="282"/>
    <col min="10753" max="10753" width="18.375" style="282" customWidth="1"/>
    <col min="10754" max="10754" width="21.375" style="282" customWidth="1"/>
    <col min="10755" max="11008" width="9" style="282"/>
    <col min="11009" max="11009" width="18.375" style="282" customWidth="1"/>
    <col min="11010" max="11010" width="21.375" style="282" customWidth="1"/>
    <col min="11011" max="11264" width="9" style="282"/>
    <col min="11265" max="11265" width="18.375" style="282" customWidth="1"/>
    <col min="11266" max="11266" width="21.375" style="282" customWidth="1"/>
    <col min="11267" max="11520" width="9" style="282"/>
    <col min="11521" max="11521" width="18.375" style="282" customWidth="1"/>
    <col min="11522" max="11522" width="21.375" style="282" customWidth="1"/>
    <col min="11523" max="11776" width="9" style="282"/>
    <col min="11777" max="11777" width="18.375" style="282" customWidth="1"/>
    <col min="11778" max="11778" width="21.375" style="282" customWidth="1"/>
    <col min="11779" max="12032" width="9" style="282"/>
    <col min="12033" max="12033" width="18.375" style="282" customWidth="1"/>
    <col min="12034" max="12034" width="21.375" style="282" customWidth="1"/>
    <col min="12035" max="12288" width="9" style="282"/>
    <col min="12289" max="12289" width="18.375" style="282" customWidth="1"/>
    <col min="12290" max="12290" width="21.375" style="282" customWidth="1"/>
    <col min="12291" max="12544" width="9" style="282"/>
    <col min="12545" max="12545" width="18.375" style="282" customWidth="1"/>
    <col min="12546" max="12546" width="21.375" style="282" customWidth="1"/>
    <col min="12547" max="12800" width="9" style="282"/>
    <col min="12801" max="12801" width="18.375" style="282" customWidth="1"/>
    <col min="12802" max="12802" width="21.375" style="282" customWidth="1"/>
    <col min="12803" max="13056" width="9" style="282"/>
    <col min="13057" max="13057" width="18.375" style="282" customWidth="1"/>
    <col min="13058" max="13058" width="21.375" style="282" customWidth="1"/>
    <col min="13059" max="13312" width="9" style="282"/>
    <col min="13313" max="13313" width="18.375" style="282" customWidth="1"/>
    <col min="13314" max="13314" width="21.375" style="282" customWidth="1"/>
    <col min="13315" max="13568" width="9" style="282"/>
    <col min="13569" max="13569" width="18.375" style="282" customWidth="1"/>
    <col min="13570" max="13570" width="21.375" style="282" customWidth="1"/>
    <col min="13571" max="13824" width="9" style="282"/>
    <col min="13825" max="13825" width="18.375" style="282" customWidth="1"/>
    <col min="13826" max="13826" width="21.375" style="282" customWidth="1"/>
    <col min="13827" max="14080" width="9" style="282"/>
    <col min="14081" max="14081" width="18.375" style="282" customWidth="1"/>
    <col min="14082" max="14082" width="21.375" style="282" customWidth="1"/>
    <col min="14083" max="14336" width="9" style="282"/>
    <col min="14337" max="14337" width="18.375" style="282" customWidth="1"/>
    <col min="14338" max="14338" width="21.375" style="282" customWidth="1"/>
    <col min="14339" max="14592" width="9" style="282"/>
    <col min="14593" max="14593" width="18.375" style="282" customWidth="1"/>
    <col min="14594" max="14594" width="21.375" style="282" customWidth="1"/>
    <col min="14595" max="14848" width="9" style="282"/>
    <col min="14849" max="14849" width="18.375" style="282" customWidth="1"/>
    <col min="14850" max="14850" width="21.375" style="282" customWidth="1"/>
    <col min="14851" max="15104" width="9" style="282"/>
    <col min="15105" max="15105" width="18.375" style="282" customWidth="1"/>
    <col min="15106" max="15106" width="21.375" style="282" customWidth="1"/>
    <col min="15107" max="15360" width="9" style="282"/>
    <col min="15361" max="15361" width="18.375" style="282" customWidth="1"/>
    <col min="15362" max="15362" width="21.375" style="282" customWidth="1"/>
    <col min="15363" max="15616" width="9" style="282"/>
    <col min="15617" max="15617" width="18.375" style="282" customWidth="1"/>
    <col min="15618" max="15618" width="21.375" style="282" customWidth="1"/>
    <col min="15619" max="15872" width="9" style="282"/>
    <col min="15873" max="15873" width="18.375" style="282" customWidth="1"/>
    <col min="15874" max="15874" width="21.375" style="282" customWidth="1"/>
    <col min="15875" max="16128" width="9" style="282"/>
    <col min="16129" max="16129" width="18.375" style="282" customWidth="1"/>
    <col min="16130" max="16130" width="21.375" style="282" customWidth="1"/>
    <col min="16131" max="16384" width="9" style="282"/>
  </cols>
  <sheetData>
    <row r="1" spans="1:2" ht="15.75" x14ac:dyDescent="0.25">
      <c r="A1" s="571" t="s">
        <v>428</v>
      </c>
      <c r="B1" s="571"/>
    </row>
    <row r="2" spans="1:2" ht="15.75" x14ac:dyDescent="0.25">
      <c r="A2" s="320" t="s">
        <v>449</v>
      </c>
      <c r="B2" s="321">
        <v>95137</v>
      </c>
    </row>
    <row r="3" spans="1:2" ht="15.75" x14ac:dyDescent="0.25">
      <c r="A3" s="320" t="s">
        <v>429</v>
      </c>
      <c r="B3" s="321">
        <v>241721</v>
      </c>
    </row>
    <row r="4" spans="1:2" ht="15.75" x14ac:dyDescent="0.25">
      <c r="A4" s="320" t="s">
        <v>430</v>
      </c>
      <c r="B4" s="322">
        <v>217445</v>
      </c>
    </row>
    <row r="5" spans="1:2" ht="15.75" x14ac:dyDescent="0.25">
      <c r="A5" s="323" t="s">
        <v>431</v>
      </c>
      <c r="B5" s="324">
        <v>224642</v>
      </c>
    </row>
    <row r="6" spans="1:2" ht="15.75" x14ac:dyDescent="0.25">
      <c r="A6" s="323" t="s">
        <v>432</v>
      </c>
      <c r="B6" s="324">
        <v>246852</v>
      </c>
    </row>
    <row r="7" spans="1:2" ht="15.75" x14ac:dyDescent="0.25">
      <c r="A7" s="323" t="s">
        <v>433</v>
      </c>
      <c r="B7" s="324">
        <v>241957</v>
      </c>
    </row>
    <row r="8" spans="1:2" ht="15.75" x14ac:dyDescent="0.25">
      <c r="A8" s="323" t="s">
        <v>434</v>
      </c>
      <c r="B8" s="324">
        <v>243581.5</v>
      </c>
    </row>
    <row r="9" spans="1:2" ht="15.75" x14ac:dyDescent="0.25">
      <c r="A9" s="323" t="s">
        <v>448</v>
      </c>
      <c r="B9" s="324">
        <v>211506</v>
      </c>
    </row>
    <row r="10" spans="1:2" ht="15.75" x14ac:dyDescent="0.25">
      <c r="A10" s="325" t="s">
        <v>56</v>
      </c>
      <c r="B10" s="326">
        <f>SUM(B2:B9)</f>
        <v>1722841.5</v>
      </c>
    </row>
    <row r="11" spans="1:2" ht="15.75" x14ac:dyDescent="0.25">
      <c r="A11" s="317"/>
      <c r="B11" s="317"/>
    </row>
  </sheetData>
  <mergeCells count="1">
    <mergeCell ref="A1:B1"/>
  </mergeCells>
  <pageMargins left="0.7" right="0.7" top="0.75" bottom="0.75" header="0.3" footer="0.3"/>
  <pageSetup orientation="portrait"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11</vt:i4>
      </vt:variant>
    </vt:vector>
  </HeadingPairs>
  <TitlesOfParts>
    <vt:vector size="33" baseType="lpstr">
      <vt:lpstr>Simple Fare Schedule Print</vt:lpstr>
      <vt:lpstr>Fare Schedules Print </vt:lpstr>
      <vt:lpstr>Fare Inputs</vt:lpstr>
      <vt:lpstr>Revenue Target Calculation</vt:lpstr>
      <vt:lpstr>2025 Expenditures</vt:lpstr>
      <vt:lpstr>2024 Sales</vt:lpstr>
      <vt:lpstr>2025 Sales</vt:lpstr>
      <vt:lpstr>26-27Cost&amp;RevPerHour</vt:lpstr>
      <vt:lpstr>2027 Operating Runs</vt:lpstr>
      <vt:lpstr>2027 Operating Hours</vt:lpstr>
      <vt:lpstr>2026 Operating Runs </vt:lpstr>
      <vt:lpstr>2026 Operating Hours</vt:lpstr>
      <vt:lpstr>2025 Co. Ferry Ops Report</vt:lpstr>
      <vt:lpstr>Youth Grant</vt:lpstr>
      <vt:lpstr>CPI - Baseline Forecast, Annual</vt:lpstr>
      <vt:lpstr>FFRTR Table 2</vt:lpstr>
      <vt:lpstr>FFRTR Table 3</vt:lpstr>
      <vt:lpstr>FFRTR Table 4</vt:lpstr>
      <vt:lpstr>Table 5</vt:lpstr>
      <vt:lpstr>FFRTR Table 6-7</vt:lpstr>
      <vt:lpstr>FFRTR Table 8</vt:lpstr>
      <vt:lpstr>FFRTR Table 9</vt:lpstr>
      <vt:lpstr>'2024 Sales'!Print_Area</vt:lpstr>
      <vt:lpstr>'2025 Expenditures'!Print_Area</vt:lpstr>
      <vt:lpstr>'2025 Sales'!Print_Area</vt:lpstr>
      <vt:lpstr>'2026 Operating Hours'!Print_Area</vt:lpstr>
      <vt:lpstr>'2026 Operating Runs '!Print_Area</vt:lpstr>
      <vt:lpstr>'2027 Operating Hours'!Print_Area</vt:lpstr>
      <vt:lpstr>'2027 Operating Runs'!Print_Area</vt:lpstr>
      <vt:lpstr>'Fare Inputs'!Print_Area</vt:lpstr>
      <vt:lpstr>'Fare Schedules Print '!Print_Area</vt:lpstr>
      <vt:lpstr>'Simple Fare Schedule Print'!Print_Area</vt:lpstr>
      <vt:lpstr>'Table 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Sawyer</dc:creator>
  <cp:lastModifiedBy>Rachel Rowe</cp:lastModifiedBy>
  <cp:lastPrinted>2026-08-31T21:21:07Z</cp:lastPrinted>
  <dcterms:created xsi:type="dcterms:W3CDTF">2023-01-18T17:19:41Z</dcterms:created>
  <dcterms:modified xsi:type="dcterms:W3CDTF">2026-09-17T18:39:37Z</dcterms:modified>
</cp:coreProperties>
</file>